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RRM\"/>
    </mc:Choice>
  </mc:AlternateContent>
  <bookViews>
    <workbookView xWindow="0" yWindow="0" windowWidth="20490" windowHeight="7620" tabRatio="675" firstSheet="1" activeTab="1"/>
  </bookViews>
  <sheets>
    <sheet name="Table of Contents" sheetId="14" state="hidden" r:id="rId1"/>
    <sheet name="Facility Info" sheetId="1" r:id="rId2"/>
    <sheet name="Outpatient Workload" sheetId="3" r:id="rId3"/>
    <sheet name="Inpatient Workload" sheetId="2" r:id="rId4"/>
    <sheet name="EMS Worksheet" sheetId="10" state="hidden" r:id="rId5"/>
    <sheet name="AMB-FTE" sheetId="5" r:id="rId6"/>
    <sheet name="OPS-FTE" sheetId="7" r:id="rId7"/>
    <sheet name="COMM-FTE" sheetId="15" r:id="rId8"/>
    <sheet name="INPAT&amp;ANCILLARY-FTE" sheetId="4" r:id="rId9"/>
    <sheet name="FTE List" sheetId="16" r:id="rId10"/>
    <sheet name="Pay Scales" sheetId="12" state="hidden" r:id="rId11"/>
    <sheet name="EMS" sheetId="9" state="hidden" r:id="rId12"/>
    <sheet name="Budget Calc" sheetId="13" state="hidden" r:id="rId13"/>
  </sheets>
  <definedNames>
    <definedName name="AdmitOverride">'Inpatient Workload'!$E$9</definedName>
    <definedName name="Admits">'Inpatient Workload'!$E$10</definedName>
    <definedName name="ADPL">'INPAT&amp;ANCILLARY-FTE'!$S$5</definedName>
    <definedName name="AlRuralADPL">'INPAT&amp;ANCILLARY-FTE'!$Q$4</definedName>
    <definedName name="ALTRURAL">'INPAT&amp;ANCILLARY-FTE'!$Q$3</definedName>
    <definedName name="AltRuralBirthing">'INPAT&amp;ANCILLARY-FTE'!$S$2</definedName>
    <definedName name="AmbUPOP">'Facility Info'!$E$25</definedName>
    <definedName name="CHP">'Outpatient Workload'!$D$14</definedName>
    <definedName name="CO_Scale">'Pay Scales'!#REF!</definedName>
    <definedName name="Dev_GS">'Pay Scales'!$C$5:$C$20</definedName>
    <definedName name="DHAT">'Outpatient Workload'!$D$28</definedName>
    <definedName name="Doctor_Scale">'Pay Scales'!$G$6:$G$8</definedName>
    <definedName name="ED24Hr">'Outpatient Workload'!$D$25</definedName>
    <definedName name="EMSArea">'Facility Info'!$J$38</definedName>
    <definedName name="ERLevel">'Outpatient Workload'!$D$39</definedName>
    <definedName name="FAC_INFO_Ambulatory">'Facility Info'!$E$25</definedName>
    <definedName name="FAC_INFO_AREA_NAME">'Facility Info'!$E$9</definedName>
    <definedName name="FAC_INFO_Audiology">'Facility Info'!$E$27</definedName>
    <definedName name="FAC_INFO_Dental">'Facility Info'!$E$28</definedName>
    <definedName name="FAC_INFO_Emergency_Medical_Service">'Facility Info'!$E$33</definedName>
    <definedName name="FAC_INFO_Eye_Care">'Facility Info'!$E$26</definedName>
    <definedName name="FAC_INFO_FAC_TYPE">'Facility Info'!$E$13</definedName>
    <definedName name="FAC_INFO_FACILITY_NAME">'Facility Info'!$E$6:$G$6</definedName>
    <definedName name="FAC_INFO_Health_Education">'Facility Info'!$E$34</definedName>
    <definedName name="FAC_INFO_HSP_PROJECT_NAME">'Facility Info'!$E$5:$G$5</definedName>
    <definedName name="FAC_INFO_Inpatient">'Facility Info'!$E$24</definedName>
    <definedName name="FAC_INFO_Mental_Health">'Facility Info'!$E$30</definedName>
    <definedName name="FAC_INFO_NO_OF_QUARTERS">'Facility Info'!$D$17</definedName>
    <definedName name="FAC_INFO_Nutrition">'Facility Info'!$E$31</definedName>
    <definedName name="FAC_INFO_PARKING_SPACES">'Facility Info'!$E$20</definedName>
    <definedName name="FAC_INFO_Public_Health_Nursing">'Facility Info'!$E$32</definedName>
    <definedName name="FAC_INFO_QUARTERS_SPACE">'Facility Info'!$J$18</definedName>
    <definedName name="FAC_INFO_SERVICE_UNIT_NAME">'Facility Info'!$E$10</definedName>
    <definedName name="FAC_INFO_Social_Services">'Facility Info'!$E$29</definedName>
    <definedName name="FAC_INFO_TOTAL_SPACE">'Facility Info'!$J$19</definedName>
    <definedName name="FAC_INFO_TREATMENT_SPACE">'Facility Info'!$J$17</definedName>
    <definedName name="FoodSvs">'Pay Scales'!$G$25:$G$27</definedName>
    <definedName name="FTE_AC_ABULATORY_DEV1">#REF!</definedName>
    <definedName name="FTE_AC_ABULATORY_DEV2">#REF!</definedName>
    <definedName name="FTE_AC_ABULATORY_DEV3">#REF!</definedName>
    <definedName name="FTE_AC_ABULATORY_DEV4">#REF!</definedName>
    <definedName name="FTE_AC_ABULATORY_DEV5">#REF!</definedName>
    <definedName name="FTE_AC_ABULATORY_DEV6">#REF!</definedName>
    <definedName name="FTE_AC_Audiologist">#REF!</definedName>
    <definedName name="FTE_AC_Audiometric_Technician">#REF!</definedName>
    <definedName name="FTE_AC_Clerical_Support">#REF!</definedName>
    <definedName name="FTE_AC_Dental_Assistant">#REF!</definedName>
    <definedName name="FTE_AC_Dental_Clerical_Support">#REF!</definedName>
    <definedName name="FTE_AC_Dental_Hygienist">#REF!</definedName>
    <definedName name="FTE_AC_Dentist">#REF!</definedName>
    <definedName name="FTE_AC_Dietician_Clerical_Support">#REF!</definedName>
    <definedName name="FTE_AC_ED_Medical_Assistant">#REF!</definedName>
    <definedName name="FTE_AC_ED_Medical_Clerks">#REF!</definedName>
    <definedName name="FTE_AC_ED_Medical_Director">#REF!</definedName>
    <definedName name="FTE_AC_ED_Nurse_Trauma_Coordinator">#REF!</definedName>
    <definedName name="FTE_AC_ED_Primary_Care_Provider">#REF!</definedName>
    <definedName name="FTE_AC_ED_RN">#REF!</definedName>
    <definedName name="FTE_AC_ED_RN_Supervisor">#REF!</definedName>
    <definedName name="FTE_AC_EMS_Medical_Director">#REF!</definedName>
    <definedName name="FTE_AC_General_Surgeon">#REF!</definedName>
    <definedName name="FTE_AC_LPN">#REF!</definedName>
    <definedName name="FTE_AC_Medical_Clerk_Exec._Support_Hosp_OPD">#REF!</definedName>
    <definedName name="FTE_AC_Nurse_Manager">#REF!</definedName>
    <definedName name="FTE_AC_Nurse_Supervisor._in_Hosp._OPD">#REF!</definedName>
    <definedName name="FTE_AC_Nursing_Clerical_Support">#REF!</definedName>
    <definedName name="FTE_AC_Ophthalmologist">#REF!</definedName>
    <definedName name="FTE_AC_Ophthalmologist_Assistant">#REF!</definedName>
    <definedName name="FTE_AC_Optometric_Assistant">#REF!</definedName>
    <definedName name="FTE_AC_Optometric_Technician">#REF!</definedName>
    <definedName name="FTE_AC_Optometrist">#REF!</definedName>
    <definedName name="FTE_AC_Physical_Therapist">#REF!</definedName>
    <definedName name="FTE_AC_Physical_Therapist_Supervisor">#REF!</definedName>
    <definedName name="FTE_AC_Physical_Therapy_Aide">#REF!</definedName>
    <definedName name="FTE_AC_Podiatrist">#REF!</definedName>
    <definedName name="FTE_AC_Podiatry_Assistant">#REF!</definedName>
    <definedName name="FTE_AC_Podiatry_Clerical_Support">#REF!</definedName>
    <definedName name="FTE_AC_Podiatry_Nurse">#REF!</definedName>
    <definedName name="FTE_AC_Podiatry_Wound_Care_Specialist">#REF!</definedName>
    <definedName name="FTE_AC_Primary_Care_Provider">#REF!</definedName>
    <definedName name="FTE_AC_Primary_Care_Provider_CHA_P">#REF!</definedName>
    <definedName name="FTE_AC_PT_Audiology_Eye_Care">#REF!</definedName>
    <definedName name="FTE_AC_Registered_Dietician">#REF!</definedName>
    <definedName name="FTE_AC_Registered_Nurse_Core_Activities">#REF!</definedName>
    <definedName name="FTE_AC_RNs_Ambulatory_Clinic_Observation_Beds">#REF!</definedName>
    <definedName name="FTE_AC_RNs_Patient_Escort">#REF!</definedName>
    <definedName name="FTE_AS_ADM_DEV1">#REF!</definedName>
    <definedName name="FTE_AS_ADM_DEV2">#REF!</definedName>
    <definedName name="FTE_AS_ADM_DEV3">#REF!</definedName>
    <definedName name="FTE_AS_ADM_DEV4">#REF!</definedName>
    <definedName name="FTE_AS_Admin._Support_Staff">#REF!</definedName>
    <definedName name="FTE_AS_Benefit_Coordinator">#REF!</definedName>
    <definedName name="FTE_AS_Billing_Clerk">#REF!</definedName>
    <definedName name="FTE_AS_Business_Manager">#REF!</definedName>
    <definedName name="FTE_AS_Central_Supply_Staff">#REF!</definedName>
    <definedName name="FTE_AS_CHS_Manager">#REF!</definedName>
    <definedName name="FTE_AS_CHS_Staff">#REF!</definedName>
    <definedName name="FTE_AS_Clerical_Support">#REF!</definedName>
    <definedName name="FTE_AS_Clinical_Applications_Coordinator">#REF!</definedName>
    <definedName name="FTE_AS_Clinical_Director">#REF!</definedName>
    <definedName name="FTE_AS_Computer_Programer_Analyst">#REF!</definedName>
    <definedName name="FTE_AS_Driver">#REF!</definedName>
    <definedName name="FTE_AS_Executive_Staff">#REF!</definedName>
    <definedName name="FTE_AS_Finance_Staff">#REF!</definedName>
    <definedName name="FTE_AS_Interpreter">#REF!</definedName>
    <definedName name="FTE_AS_Medical_Technician">#REF!</definedName>
    <definedName name="FTE_AS_Office_Staff">#REF!</definedName>
    <definedName name="FTE_AS_Patient_Registration_Tech.">#REF!</definedName>
    <definedName name="FTE_AS_Performance_Improvement_Staff">#REF!</definedName>
    <definedName name="FTE_AS_PRC_Manager">#REF!</definedName>
    <definedName name="FTE_AS_PRC_Staff">#REF!</definedName>
    <definedName name="FTE_AS_RCIS_Data_Entry_Clerk">#REF!</definedName>
    <definedName name="FTE_AS_Telemedicine_Coordinator">#REF!</definedName>
    <definedName name="FTE_AS_UFMS_Clerk">#REF!</definedName>
    <definedName name="FTE_CH_ASA_Counselor">#REF!</definedName>
    <definedName name="FTE_CH_ASA_Therapist">#REF!</definedName>
    <definedName name="FTE_CH_Behavioral_Health_Staff">#REF!</definedName>
    <definedName name="FTE_CH_Case_Manager">#REF!</definedName>
    <definedName name="FTE_CH_Clerical_Support">#REF!</definedName>
    <definedName name="FTE_CH_Clinical_Pool_for_MH_SS">#REF!</definedName>
    <definedName name="FTE_CH_CM_DEV1">#REF!</definedName>
    <definedName name="FTE_CH_CM_DEV10">#REF!</definedName>
    <definedName name="FTE_CH_CM_DEV11">#REF!</definedName>
    <definedName name="FTE_CH_CM_DEV12">#REF!</definedName>
    <definedName name="FTE_CH_CM_DEV2">#REF!</definedName>
    <definedName name="FTE_CH_CM_DEV3">#REF!</definedName>
    <definedName name="FTE_CH_CM_DEV4">#REF!</definedName>
    <definedName name="FTE_CH_CM_DEV5">#REF!</definedName>
    <definedName name="FTE_CH_CM_DEV6">#REF!</definedName>
    <definedName name="FTE_CH_CM_DEV7">#REF!</definedName>
    <definedName name="FTE_CH_CM_DEV8">#REF!</definedName>
    <definedName name="FTE_CH_CM_DEV9">#REF!</definedName>
    <definedName name="FTE_CH_Management_Analysis">#REF!</definedName>
    <definedName name="FTE_CH_MSW_Counselor_Inpatient_Only">#REF!</definedName>
    <definedName name="FTE_CH_PHN_RD">#REF!</definedName>
    <definedName name="FTE_CH_PHN_Support_Staff">#REF!</definedName>
    <definedName name="FTE_CH_Public_Health_Educator_Staff">#REF!</definedName>
    <definedName name="FTE_CH_Public_Health_Nurse">#REF!</definedName>
    <definedName name="FTE_CH_Public_Health_Nurse_Manager">#REF!</definedName>
    <definedName name="FTE_CH_Public_Health_Nurse_School">#REF!</definedName>
    <definedName name="FTE_CH_Social_Service_Staff">#REF!</definedName>
    <definedName name="FTE_CH_Wellness_Administrative_Assistant">#REF!</definedName>
    <definedName name="FTE_CH_Wellness_Deputy_Director">#REF!</definedName>
    <definedName name="FTE_CH_Wellness_Director">#REF!</definedName>
    <definedName name="FTE_CH_Wellness_Receptionist">#REF!</definedName>
    <definedName name="FTE_CH_Wellness_Tecnician">#REF!</definedName>
    <definedName name="FTE_CS_ANCIL_DEV1">#REF!</definedName>
    <definedName name="FTE_CS_ANCIL_DEV2">#REF!</definedName>
    <definedName name="FTE_CS_ANCIL_DEV3">#REF!</definedName>
    <definedName name="FTE_CS_ANCIL_DEV4">#REF!</definedName>
    <definedName name="FTE_CS_Coder">#REF!</definedName>
    <definedName name="FTE_CS_Imaging_Technologist">#REF!</definedName>
    <definedName name="FTE_CS_Imaging_Technologist_CHA_P">#REF!</definedName>
    <definedName name="FTE_CS_Lab_Pharm_Imaging">#REF!</definedName>
    <definedName name="FTE_CS_Medical_Records_Administrator">#REF!</definedName>
    <definedName name="FTE_CS_Medical_Records_Technician">#REF!</definedName>
    <definedName name="FTE_CS_Medical_Records_Technician_CHA_P">#REF!</definedName>
    <definedName name="FTE_CS_Medical_Runner">#REF!</definedName>
    <definedName name="FTE_CS_Medical_Technician">#REF!</definedName>
    <definedName name="FTE_CS_Medical_Technician_CHA_P">#REF!</definedName>
    <definedName name="FTE_CS_Medical_Technologist">#REF!</definedName>
    <definedName name="FTE_CS_PCC_Data_Entry_Personnel">#REF!</definedName>
    <definedName name="FTE_CS_PCC_Data_Entry_Personnel_CHA_P">#REF!</definedName>
    <definedName name="FTE_CS_PCC_Supervisor">#REF!</definedName>
    <definedName name="FTE_CS_Pharmacist">#REF!</definedName>
    <definedName name="FTE_CS_Pharmacist_CHA_P">#REF!</definedName>
    <definedName name="FTE_CS_Pharmacy_Billing_Specialist">#REF!</definedName>
    <definedName name="FTE_CS_Pharmacy_Technician">#REF!</definedName>
    <definedName name="FTE_CS_Respiratory_Staff">#REF!</definedName>
    <definedName name="FTE_EMS_Clerks">#REF!</definedName>
    <definedName name="FTE_EMS_EMT_B">#REF!</definedName>
    <definedName name="FTE_EMS_EMT_I_P">#REF!</definedName>
    <definedName name="FTE_EMS_Supervisor">#REF!</definedName>
    <definedName name="FTE_FS_Clerical_Support">#REF!</definedName>
    <definedName name="FTE_FS_Clinical_Engineering_Staff">#REF!</definedName>
    <definedName name="FTE_FS_Clinical_Registered_Dietician">#REF!</definedName>
    <definedName name="FTE_FS_Cook">#REF!</definedName>
    <definedName name="FTE_FS_Dietetic_Staff">#REF!</definedName>
    <definedName name="FTE_FS_Dietetic_Technician">#REF!</definedName>
    <definedName name="FTE_FS_Dietician_Director">#REF!</definedName>
    <definedName name="FTE_FS_Facility_Support">#REF!</definedName>
    <definedName name="FTE_FS_Food_Service_Clerical">#REF!</definedName>
    <definedName name="FTE_FS_Food_Service_Worker">#REF!</definedName>
    <definedName name="FTE_FS_Janitor_Housekeeper">#REF!</definedName>
    <definedName name="FTE_FS_Laundry_staff">#REF!</definedName>
    <definedName name="FTE_FS_Maintenance_Staff">#REF!</definedName>
    <definedName name="FTE_FS_Registered_Nurse">#REF!</definedName>
    <definedName name="FTE_FS_Security">#REF!</definedName>
    <definedName name="FTE_FS_Warehouseman">#REF!</definedName>
    <definedName name="FTE_FTE_Calc">'FTE List'!$D$389</definedName>
    <definedName name="FTE_IC_Admin._Clerical_Support">#REF!</definedName>
    <definedName name="FTE_IC_Ambulatory_Surgery_RN">#REF!</definedName>
    <definedName name="FTE_IC_Anethesiologist">#REF!</definedName>
    <definedName name="FTE_IC_Chief_of_Service">#REF!</definedName>
    <definedName name="FTE_IC_Clerical_Support">#REF!</definedName>
    <definedName name="FTE_IC_Discharge_Planning_Nurse">#REF!</definedName>
    <definedName name="FTE_IC_General_Surgeon">#REF!</definedName>
    <definedName name="FTE_IC_GM_Physician">#REF!</definedName>
    <definedName name="FTE_IC_GM_SURG_Clerical_Support">#REF!</definedName>
    <definedName name="FTE_IC_GM_SURG_LPN_Technician">#REF!</definedName>
    <definedName name="FTE_IC_GM_SURG_Registered_Nurse">#REF!</definedName>
    <definedName name="FTE_IC_ICU_Clerical_Support">#REF!</definedName>
    <definedName name="FTE_IC_ICU_RN">#REF!</definedName>
    <definedName name="FTE_IC_INP_DEV1">#REF!</definedName>
    <definedName name="FTE_IC_INP_DEV2">#REF!</definedName>
    <definedName name="FTE_IC_INP_DEV3">#REF!</definedName>
    <definedName name="FTE_IC_INP_DEV4">#REF!</definedName>
    <definedName name="FTE_IC_INP_DEV5">#REF!</definedName>
    <definedName name="FTE_IC_INP_DEV6">#REF!</definedName>
    <definedName name="FTE_IC_INP_DEV7">#REF!</definedName>
    <definedName name="FTE_IC_INP_DEV8">#REF!</definedName>
    <definedName name="FTE_IC_INP_DEV9">#REF!</definedName>
    <definedName name="FTE_IC_Newborn_Clerical_Support">#REF!</definedName>
    <definedName name="FTE_IC_Newborn_LPN_Technician">#REF!</definedName>
    <definedName name="FTE_IC_Nurse_Educator">#REF!</definedName>
    <definedName name="FTE_IC_Nurse_Midwife">#REF!</definedName>
    <definedName name="FTE_IC_Nursery_Clerical_Support">#REF!</definedName>
    <definedName name="FTE_IC_Nursery_LPN_Technician">#REF!</definedName>
    <definedName name="FTE_IC_Nursery_RN_Fixed">#REF!</definedName>
    <definedName name="FTE_IC_Nursing_Administration">#REF!</definedName>
    <definedName name="FTE_IC_OB_GYN_Physician">#REF!</definedName>
    <definedName name="FTE_IC_OB_GYN_Surgeon">#REF!</definedName>
    <definedName name="FTE_IC_OB_L_D_Clerical_Support">#REF!</definedName>
    <definedName name="FTE_IC_OB_L_D_LPN_Technician">#REF!</definedName>
    <definedName name="FTE_IC_OB_L_D_Registered_Nurse">#REF!</definedName>
    <definedName name="FTE_IC_Observ._Bed_Registered_Nurse">#REF!</definedName>
    <definedName name="FTE_IC_OR_LPN_Technician">#REF!</definedName>
    <definedName name="FTE_IC_OR_RN">#REF!</definedName>
    <definedName name="FTE_IC_Patient_Escort_RN">#REF!</definedName>
    <definedName name="FTE_IC_PED_Clerical_Support">#REF!</definedName>
    <definedName name="FTE_IC_PED_LPN_Technician">#REF!</definedName>
    <definedName name="FTE_IC_PED_Registered_Nurse">#REF!</definedName>
    <definedName name="FTE_IC_Peds._Physician">#REF!</definedName>
    <definedName name="FTE_IC_Post_Anesthesia_Recovery_RN">#REF!</definedName>
    <definedName name="FTE_IC_Psych_Clerical_Support">#REF!</definedName>
    <definedName name="FTE_IC_Psych_LPN_Technican">#REF!</definedName>
    <definedName name="FTE_IC_Psych_RN_Fixed">#REF!</definedName>
    <definedName name="FTE_IC_Quality_Improvement_Nurse">#REF!</definedName>
    <definedName name="FTE_IC_Step_Down_Unit_Clerical_Support">#REF!</definedName>
    <definedName name="FTE_IC_Step_Down_Unit_LPN">#REF!</definedName>
    <definedName name="FTE_IC_Step_Down_Unit_RN">#REF!</definedName>
    <definedName name="General_GS">#REF!</definedName>
    <definedName name="GS_Scale">'Pay Scales'!#REF!</definedName>
    <definedName name="HEALTHCENTER">'INPAT&amp;ANCILLARY-FTE'!$Q$7</definedName>
    <definedName name="HOSPITAL">'INPAT&amp;ANCILLARY-FTE'!$Q$2</definedName>
    <definedName name="IHS_Area">'Pay Scales'!$T$5:$T$17</definedName>
    <definedName name="InpatientThreshold">'INPAT&amp;ANCILLARY-FTE'!$S$15</definedName>
    <definedName name="IP_Subtotal_OnSiteDays">'Inpatient Workload'!$E$26</definedName>
    <definedName name="IP_WKL_Birthing">'Inpatient Workload'!$E$24</definedName>
    <definedName name="IP_WKL_General_Medicine">'Inpatient Workload'!$E$17</definedName>
    <definedName name="IP_WKL_ICU_CCU">'Inpatient Workload'!$E$21</definedName>
    <definedName name="IP_WKL_Newborn">'Inpatient Workload'!#REF!</definedName>
    <definedName name="IP_WKL_No_of_Inpatient_General_Surgical_Cases">'Inpatient Workload'!$E$13</definedName>
    <definedName name="IP_WKL_Obstetrics_Gynecology">'Inpatient Workload'!$E$18</definedName>
    <definedName name="IP_WKL_Pediatrics">'Inpatient Workload'!$E$20</definedName>
    <definedName name="IP_WKL_Projected_No_Deliveries">'Inpatient Workload'!$E$12</definedName>
    <definedName name="IP_WKL_Psychiatric">'Inpatient Workload'!$E$22</definedName>
    <definedName name="IP_WKL_Step_Down">'Inpatient Workload'!#REF!</definedName>
    <definedName name="IP_WKL_Subacute">'Inpatient Workload'!#REF!</definedName>
    <definedName name="IP_WKL_Surgery">'Inpatient Workload'!$E$19</definedName>
    <definedName name="IP_WKL_Total_Number_of_Beds.">'Inpatient Workload'!$E$14</definedName>
    <definedName name="IP_WKL_Total_Number_of_ICU_CCU_Beds">'Inpatient Workload'!#REF!</definedName>
    <definedName name="ISREMOTE">'Inpatient Workload'!$E$27</definedName>
    <definedName name="MedSurgPedsBedDays">'INPAT&amp;ANCILLARY-FTE'!$S$16</definedName>
    <definedName name="MeetsInpatientThreshold">'INPAT&amp;ANCILLARY-FTE'!$V$18</definedName>
    <definedName name="MeetsRuralInpatientThreshold">'INPAT&amp;ANCILLARY-FTE'!$V$17</definedName>
    <definedName name="METRIC">'Facility Info'!$E$15</definedName>
    <definedName name="Nurse_Scale">'Pay Scales'!$M$6:$M$11</definedName>
    <definedName name="OEHE">'Outpatient Workload'!$D$55</definedName>
    <definedName name="OP_WKL_ER_PCPVs">'Outpatient Workload'!$D$38</definedName>
    <definedName name="OP_WKL_Outpatient_Surgery">'Outpatient Workload'!$D$31</definedName>
    <definedName name="OP_WKL_Physical_Therapy_Visits">'Outpatient Workload'!$D$10</definedName>
    <definedName name="OP_WKL_Primary_Care_Provider_Visit_PCPVs">'Outpatient Workload'!$D$9</definedName>
    <definedName name="OP_WKL_Total_Specialty_Visits_TSVs_for_Specialty_Care">'Outpatient Workload'!$D$13</definedName>
    <definedName name="OPV">'Outpatient Workload'!$E$17</definedName>
    <definedName name="ORCases">'INPAT&amp;ANCILLARY-FTE'!$S$6</definedName>
    <definedName name="OTV">'Outpatient Workload'!$D$11</definedName>
    <definedName name="PCPV">'Outpatient Workload'!$D$9</definedName>
    <definedName name="PharmDrivenVisits">'Outpatient Workload'!$D$22</definedName>
    <definedName name="PharmDriveThru">'Outpatient Workload'!$D$24</definedName>
    <definedName name="PharmExtHrs">'Outpatient Workload'!$D$21</definedName>
    <definedName name="PointOfSalePhaarmClaims">'Outpatient Workload'!$D$23</definedName>
    <definedName name="POPV">'Outpatient Workload'!$D$15</definedName>
    <definedName name="PRCPOs">'Outpatient Workload'!$D$52</definedName>
    <definedName name="Prescriptions">'Outpatient Workload'!$E$20</definedName>
    <definedName name="_xlnm.Print_Area" localSheetId="5">'AMB-FTE'!$B$1:$N$99</definedName>
    <definedName name="_xlnm.Print_Area" localSheetId="4">'EMS Worksheet'!$B$1:$F$37</definedName>
    <definedName name="_xlnm.Print_Area" localSheetId="1">'Facility Info'!$B$1:$G$47</definedName>
    <definedName name="_xlnm.Print_Area" localSheetId="8">'INPAT&amp;ANCILLARY-FTE'!$B$1:$N$142</definedName>
    <definedName name="_xlnm.Print_Area" localSheetId="3">'Inpatient Workload'!$B$2:$G$39</definedName>
    <definedName name="_xlnm.Print_Area" localSheetId="6">'OPS-FTE'!$B$1:$N$174</definedName>
    <definedName name="_xlnm.Print_Area" localSheetId="2">'Outpatient Workload'!$B$1:$F$64</definedName>
    <definedName name="_xlnm.Print_Area" localSheetId="10">'Pay Scales'!$B$5:$G$31</definedName>
    <definedName name="_xlnm.Print_Titles" localSheetId="5">'AMB-FTE'!$1:$8</definedName>
    <definedName name="_xlnm.Print_Titles" localSheetId="4">'EMS Worksheet'!$2:$2</definedName>
    <definedName name="_xlnm.Print_Titles" localSheetId="1">'Facility Info'!$2:$2</definedName>
    <definedName name="_xlnm.Print_Titles" localSheetId="8">'INPAT&amp;ANCILLARY-FTE'!$1:$8</definedName>
    <definedName name="_xlnm.Print_Titles" localSheetId="3">'Inpatient Workload'!$2:$2</definedName>
    <definedName name="_xlnm.Print_Titles" localSheetId="6">'OPS-FTE'!$1:$8</definedName>
    <definedName name="_xlnm.Print_Titles" localSheetId="2">'Outpatient Workload'!$2:$2</definedName>
    <definedName name="PTV">'Outpatient Workload'!$D$10</definedName>
    <definedName name="RCIS">'Outpatient Workload'!$D$53</definedName>
    <definedName name="RuralInpatientThreshold">'INPAT&amp;ANCILLARY-FTE'!$S$14</definedName>
    <definedName name="SatelliteFacilities">'Outpatient Workload'!$D$34</definedName>
    <definedName name="SatelliteFacilitiesOPV">'Outpatient Workload'!$D$35</definedName>
    <definedName name="Security_24">'Facility Info'!$E$41</definedName>
    <definedName name="SLPV">'Outpatient Workload'!$D$12</definedName>
    <definedName name="Standard_GS">'Pay Scales'!$C$6:$C$20</definedName>
    <definedName name="TSV">'Outpatient Workload'!$D$13</definedName>
    <definedName name="Wellness_Hours">'Facility Info'!$E$46</definedName>
    <definedName name="Year">'Pay Scales'!$P$5:$P$25</definedName>
    <definedName name="Years">'Pay Scales'!$P$5:$P$25</definedName>
    <definedName name="Z_82538F0F_5202_4835_8386_243FA62C9FC1_.wvu.PrintArea" localSheetId="5" hidden="1">'AMB-FTE'!$B$1:$N$99</definedName>
    <definedName name="Z_82538F0F_5202_4835_8386_243FA62C9FC1_.wvu.PrintArea" localSheetId="4" hidden="1">'EMS Worksheet'!$B$1:$F$37</definedName>
    <definedName name="Z_82538F0F_5202_4835_8386_243FA62C9FC1_.wvu.PrintArea" localSheetId="1" hidden="1">'Facility Info'!$B$1:$H$49</definedName>
    <definedName name="Z_82538F0F_5202_4835_8386_243FA62C9FC1_.wvu.PrintArea" localSheetId="8" hidden="1">'INPAT&amp;ANCILLARY-FTE'!$B$1:$N$142</definedName>
    <definedName name="Z_82538F0F_5202_4835_8386_243FA62C9FC1_.wvu.PrintArea" localSheetId="3" hidden="1">'Inpatient Workload'!$B$2:$G$39</definedName>
    <definedName name="Z_82538F0F_5202_4835_8386_243FA62C9FC1_.wvu.PrintArea" localSheetId="6" hidden="1">'OPS-FTE'!$B$1:$N$174</definedName>
    <definedName name="Z_82538F0F_5202_4835_8386_243FA62C9FC1_.wvu.PrintArea" localSheetId="2" hidden="1">'Outpatient Workload'!$B$1:$F$64</definedName>
    <definedName name="Z_82538F0F_5202_4835_8386_243FA62C9FC1_.wvu.PrintArea" localSheetId="10" hidden="1">'Pay Scales'!$B$5:$G$31</definedName>
    <definedName name="Z_82538F0F_5202_4835_8386_243FA62C9FC1_.wvu.PrintTitles" localSheetId="5" hidden="1">'AMB-FTE'!$1:$8</definedName>
    <definedName name="Z_82538F0F_5202_4835_8386_243FA62C9FC1_.wvu.PrintTitles" localSheetId="4" hidden="1">'EMS Worksheet'!$2:$2</definedName>
    <definedName name="Z_82538F0F_5202_4835_8386_243FA62C9FC1_.wvu.PrintTitles" localSheetId="1" hidden="1">'Facility Info'!$2:$2</definedName>
    <definedName name="Z_82538F0F_5202_4835_8386_243FA62C9FC1_.wvu.PrintTitles" localSheetId="8" hidden="1">'INPAT&amp;ANCILLARY-FTE'!$1:$8</definedName>
    <definedName name="Z_82538F0F_5202_4835_8386_243FA62C9FC1_.wvu.PrintTitles" localSheetId="3" hidden="1">'Inpatient Workload'!$2:$2</definedName>
    <definedName name="Z_82538F0F_5202_4835_8386_243FA62C9FC1_.wvu.PrintTitles" localSheetId="6" hidden="1">'OPS-FTE'!$1:$8</definedName>
    <definedName name="Z_82538F0F_5202_4835_8386_243FA62C9FC1_.wvu.PrintTitles" localSheetId="2" hidden="1">'Outpatient Workload'!$2:$2</definedName>
  </definedNames>
  <calcPr calcId="162913" iterate="1" iterateCount="50" iterateDelta="0.1"/>
  <customWorkbookViews>
    <customWorkbookView name="User Display" guid="{82538F0F-5202-4835-8386-243FA62C9FC1}" includeHiddenRowCol="0" maximized="1" xWindow="-9" yWindow="-9" windowWidth="1938" windowHeight="105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3" l="1"/>
  <c r="B4" i="2"/>
  <c r="M79" i="4" l="1"/>
  <c r="B2" i="16" l="1"/>
  <c r="M147" i="7" l="1"/>
  <c r="D386" i="16" l="1"/>
  <c r="D385" i="16"/>
  <c r="D384" i="16"/>
  <c r="D383" i="16"/>
  <c r="D382" i="16"/>
  <c r="D381" i="16"/>
  <c r="D380" i="16"/>
  <c r="D379" i="16"/>
  <c r="D378" i="16"/>
  <c r="C386" i="16"/>
  <c r="C385" i="16"/>
  <c r="C384" i="16"/>
  <c r="C383" i="16"/>
  <c r="C382" i="16"/>
  <c r="C381" i="16"/>
  <c r="C380" i="16"/>
  <c r="C379" i="16"/>
  <c r="C378" i="16"/>
  <c r="M73" i="7"/>
  <c r="D387" i="16" l="1"/>
  <c r="E20" i="3"/>
  <c r="M126" i="4" l="1"/>
  <c r="M70" i="4"/>
  <c r="M94" i="5"/>
  <c r="L51" i="1" l="1"/>
  <c r="L50" i="1"/>
  <c r="L49" i="1"/>
  <c r="L48" i="1"/>
  <c r="L47" i="1"/>
  <c r="L46" i="1"/>
  <c r="L45" i="1"/>
  <c r="C48" i="16"/>
  <c r="K52" i="1" l="1"/>
  <c r="D18" i="13"/>
  <c r="G18" i="13" s="1"/>
  <c r="D148" i="16"/>
  <c r="D147" i="16"/>
  <c r="D146" i="16"/>
  <c r="D145" i="16"/>
  <c r="D144" i="16"/>
  <c r="D143" i="16"/>
  <c r="C375" i="16"/>
  <c r="C374" i="16"/>
  <c r="C373" i="16"/>
  <c r="C367" i="16"/>
  <c r="C366" i="16"/>
  <c r="C363" i="16"/>
  <c r="C360" i="16"/>
  <c r="C359" i="16"/>
  <c r="C358" i="16"/>
  <c r="C357" i="16"/>
  <c r="C356" i="16"/>
  <c r="C355" i="16"/>
  <c r="C354" i="16"/>
  <c r="C351" i="16"/>
  <c r="C348" i="16"/>
  <c r="C347" i="16"/>
  <c r="C346" i="16"/>
  <c r="C345" i="16"/>
  <c r="C342" i="16"/>
  <c r="C339" i="16"/>
  <c r="C338" i="16"/>
  <c r="C337" i="16"/>
  <c r="D332" i="16"/>
  <c r="C332" i="16"/>
  <c r="D331" i="16"/>
  <c r="C331" i="16"/>
  <c r="D330" i="16"/>
  <c r="C330" i="16"/>
  <c r="D329" i="16"/>
  <c r="C329" i="16"/>
  <c r="C326" i="16"/>
  <c r="C323" i="16"/>
  <c r="C320" i="16"/>
  <c r="C319" i="16"/>
  <c r="C316" i="16"/>
  <c r="C313" i="16" l="1"/>
  <c r="C312" i="16"/>
  <c r="C309" i="16"/>
  <c r="C308" i="16"/>
  <c r="C307" i="16"/>
  <c r="C306" i="16"/>
  <c r="C305" i="16"/>
  <c r="C304" i="16"/>
  <c r="C303" i="16"/>
  <c r="C300" i="16"/>
  <c r="B299" i="16"/>
  <c r="C297" i="16"/>
  <c r="C296" i="16"/>
  <c r="C295" i="16"/>
  <c r="C294" i="16"/>
  <c r="C293" i="16"/>
  <c r="C290" i="16"/>
  <c r="C289" i="16"/>
  <c r="C288" i="16"/>
  <c r="C287" i="16"/>
  <c r="C284" i="16"/>
  <c r="C283" i="16"/>
  <c r="C280" i="16"/>
  <c r="C279" i="16"/>
  <c r="C278" i="16"/>
  <c r="C277" i="16"/>
  <c r="C276" i="16"/>
  <c r="C273" i="16"/>
  <c r="C272" i="16"/>
  <c r="C271" i="16"/>
  <c r="C270" i="16"/>
  <c r="C269" i="16"/>
  <c r="C268" i="16"/>
  <c r="C267" i="16"/>
  <c r="C266" i="16"/>
  <c r="D190" i="16"/>
  <c r="C190" i="16"/>
  <c r="D189" i="16"/>
  <c r="C189" i="16"/>
  <c r="D188" i="16"/>
  <c r="C188" i="16"/>
  <c r="D187" i="16"/>
  <c r="C187" i="16"/>
  <c r="C181" i="16"/>
  <c r="C178" i="16"/>
  <c r="C177" i="16"/>
  <c r="C176" i="16"/>
  <c r="C175" i="16"/>
  <c r="C174" i="16"/>
  <c r="C173" i="16"/>
  <c r="C172" i="16"/>
  <c r="C171" i="16"/>
  <c r="C168" i="16"/>
  <c r="C167" i="16"/>
  <c r="C164" i="16"/>
  <c r="C162" i="16"/>
  <c r="C161" i="16"/>
  <c r="C158" i="16"/>
  <c r="C155" i="16"/>
  <c r="C154" i="16"/>
  <c r="C153" i="16"/>
  <c r="C134" i="16"/>
  <c r="C133" i="16"/>
  <c r="C132" i="16"/>
  <c r="C131" i="16"/>
  <c r="C130" i="16"/>
  <c r="C127" i="16"/>
  <c r="C126" i="16"/>
  <c r="C125" i="16"/>
  <c r="C124" i="16"/>
  <c r="C123" i="16"/>
  <c r="C122" i="16"/>
  <c r="C121" i="16"/>
  <c r="C107" i="16"/>
  <c r="C118" i="16"/>
  <c r="C117" i="16"/>
  <c r="C116" i="16"/>
  <c r="C115" i="16"/>
  <c r="C114" i="16"/>
  <c r="C113" i="16"/>
  <c r="C112" i="16"/>
  <c r="C111" i="16"/>
  <c r="C110" i="16"/>
  <c r="C104" i="16"/>
  <c r="C103" i="16"/>
  <c r="C100" i="16"/>
  <c r="C99" i="16"/>
  <c r="C98" i="16"/>
  <c r="C97" i="16"/>
  <c r="C96" i="16"/>
  <c r="C93" i="16"/>
  <c r="C92" i="16"/>
  <c r="C91" i="16"/>
  <c r="C90" i="16"/>
  <c r="C89" i="16"/>
  <c r="C88" i="16"/>
  <c r="C87" i="16"/>
  <c r="C86" i="16"/>
  <c r="C83" i="16"/>
  <c r="C80" i="16"/>
  <c r="C79" i="16"/>
  <c r="C76" i="16"/>
  <c r="C75" i="16"/>
  <c r="C74" i="16"/>
  <c r="C73" i="16"/>
  <c r="C70" i="16"/>
  <c r="C69" i="16"/>
  <c r="C68" i="16"/>
  <c r="C67" i="16"/>
  <c r="C66" i="16"/>
  <c r="C65" i="16"/>
  <c r="C64" i="16"/>
  <c r="D59" i="16"/>
  <c r="C59" i="16"/>
  <c r="D58" i="16"/>
  <c r="C58" i="16"/>
  <c r="D57" i="16"/>
  <c r="C57" i="16"/>
  <c r="D56" i="16"/>
  <c r="C56" i="16"/>
  <c r="D55" i="16"/>
  <c r="C55" i="16"/>
  <c r="D54" i="16"/>
  <c r="C54" i="16"/>
  <c r="D53" i="16"/>
  <c r="C53" i="16"/>
  <c r="D52" i="16"/>
  <c r="C52" i="16"/>
  <c r="D51" i="16"/>
  <c r="C51"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19" i="16"/>
  <c r="C18" i="16"/>
  <c r="C17" i="16"/>
  <c r="C13" i="16"/>
  <c r="C12" i="16"/>
  <c r="C11" i="16"/>
  <c r="C10" i="16"/>
  <c r="C9" i="16"/>
  <c r="C16" i="16"/>
  <c r="E3" i="4" l="1"/>
  <c r="L2" i="4"/>
  <c r="M1" i="4"/>
  <c r="L1" i="4"/>
  <c r="E3" i="7"/>
  <c r="L2" i="7"/>
  <c r="M1" i="7"/>
  <c r="L1" i="7"/>
  <c r="L2" i="5"/>
  <c r="M1" i="5"/>
  <c r="L1" i="5"/>
  <c r="E3" i="5"/>
  <c r="C140" i="16" l="1"/>
  <c r="C139" i="16"/>
  <c r="C138" i="16"/>
  <c r="C137" i="16"/>
  <c r="D261" i="16"/>
  <c r="C261" i="16"/>
  <c r="D260" i="16"/>
  <c r="C260" i="16"/>
  <c r="D259" i="16"/>
  <c r="C259" i="16"/>
  <c r="D258" i="16"/>
  <c r="C258" i="16"/>
  <c r="D257" i="16"/>
  <c r="C257" i="16"/>
  <c r="D256" i="16"/>
  <c r="C256" i="16"/>
  <c r="D255" i="16"/>
  <c r="C255" i="16"/>
  <c r="D254" i="16"/>
  <c r="C254" i="16"/>
  <c r="D253" i="16"/>
  <c r="C253" i="16"/>
  <c r="D252" i="16"/>
  <c r="C252" i="16"/>
  <c r="D251" i="16"/>
  <c r="C251" i="16"/>
  <c r="D250" i="16"/>
  <c r="C250" i="16"/>
  <c r="C247" i="16"/>
  <c r="C246" i="16"/>
  <c r="C245" i="16"/>
  <c r="C242" i="16"/>
  <c r="C241" i="16"/>
  <c r="C238" i="16"/>
  <c r="C237" i="16"/>
  <c r="C234" i="16"/>
  <c r="C233" i="16"/>
  <c r="C229" i="16"/>
  <c r="C228" i="16"/>
  <c r="C227" i="16"/>
  <c r="C226" i="16"/>
  <c r="C225" i="16"/>
  <c r="C222" i="16"/>
  <c r="C221" i="16"/>
  <c r="C220" i="16"/>
  <c r="C219" i="16"/>
  <c r="C218" i="16"/>
  <c r="C217" i="16"/>
  <c r="C216" i="16"/>
  <c r="C213" i="16"/>
  <c r="C212" i="16"/>
  <c r="B211" i="16"/>
  <c r="C209" i="16"/>
  <c r="C208" i="16"/>
  <c r="C207" i="16"/>
  <c r="C204" i="16"/>
  <c r="C203" i="16"/>
  <c r="C202" i="16"/>
  <c r="C201" i="16"/>
  <c r="C198" i="16"/>
  <c r="C197" i="16"/>
  <c r="C196" i="16"/>
  <c r="C195" i="16"/>
  <c r="C148" i="16"/>
  <c r="C147" i="16"/>
  <c r="C146" i="16"/>
  <c r="C145" i="16"/>
  <c r="C144" i="16"/>
  <c r="C143" i="16"/>
  <c r="C4" i="16"/>
  <c r="D3" i="16"/>
  <c r="C3" i="16"/>
  <c r="D390" i="16"/>
  <c r="D333" i="16" l="1"/>
  <c r="D262" i="16"/>
  <c r="D149" i="16"/>
  <c r="L1" i="15" l="1"/>
  <c r="M23" i="15"/>
  <c r="M21" i="15"/>
  <c r="L2" i="15"/>
  <c r="M1" i="15"/>
  <c r="M85" i="15" l="1"/>
  <c r="M70" i="15"/>
  <c r="D229" i="16" s="1"/>
  <c r="M69" i="15"/>
  <c r="D228" i="16" s="1"/>
  <c r="M68" i="15"/>
  <c r="D227" i="16" s="1"/>
  <c r="M67" i="15"/>
  <c r="D226" i="16" s="1"/>
  <c r="M66" i="15"/>
  <c r="D225" i="16" s="1"/>
  <c r="M63" i="15"/>
  <c r="D222" i="16" s="1"/>
  <c r="M62" i="15"/>
  <c r="D221" i="16" s="1"/>
  <c r="M61" i="15"/>
  <c r="D220" i="16" s="1"/>
  <c r="M60" i="15"/>
  <c r="D219" i="16" s="1"/>
  <c r="M59" i="15"/>
  <c r="D218" i="16" s="1"/>
  <c r="M58" i="15"/>
  <c r="D217" i="16" s="1"/>
  <c r="M57" i="15"/>
  <c r="D216" i="16" s="1"/>
  <c r="M54" i="15"/>
  <c r="D247" i="16" s="1"/>
  <c r="M53" i="15"/>
  <c r="D246" i="16" s="1"/>
  <c r="M52" i="15"/>
  <c r="M49" i="15"/>
  <c r="D242" i="16" s="1"/>
  <c r="M45" i="15"/>
  <c r="D238" i="16" s="1"/>
  <c r="M35" i="15"/>
  <c r="D212" i="16" s="1"/>
  <c r="M30" i="15"/>
  <c r="M29" i="15"/>
  <c r="M28" i="15"/>
  <c r="M13" i="15"/>
  <c r="D196" i="16" s="1"/>
  <c r="M12" i="15"/>
  <c r="E3" i="15"/>
  <c r="S1" i="4"/>
  <c r="Q2" i="4"/>
  <c r="M22" i="4" s="1"/>
  <c r="S2" i="4"/>
  <c r="V2" i="4"/>
  <c r="Q3" i="4"/>
  <c r="S3" i="4"/>
  <c r="Q4" i="4"/>
  <c r="S6" i="4"/>
  <c r="M20" i="4" s="1"/>
  <c r="D16" i="16" s="1"/>
  <c r="Q7" i="4"/>
  <c r="S8" i="4"/>
  <c r="M14" i="4"/>
  <c r="D10" i="16" s="1"/>
  <c r="M15" i="4"/>
  <c r="D11" i="16" s="1"/>
  <c r="M16" i="4"/>
  <c r="D12" i="16" s="1"/>
  <c r="M21" i="4"/>
  <c r="D17" i="16" s="1"/>
  <c r="T31" i="4"/>
  <c r="O40" i="4"/>
  <c r="M44" i="4"/>
  <c r="D40" i="16" s="1"/>
  <c r="M45" i="4"/>
  <c r="D41" i="16" s="1"/>
  <c r="F77" i="4"/>
  <c r="M78" i="4"/>
  <c r="D155" i="16" s="1"/>
  <c r="F79" i="4"/>
  <c r="M80" i="4"/>
  <c r="M81" i="4"/>
  <c r="M85" i="4"/>
  <c r="D159" i="16" s="1"/>
  <c r="H88" i="4"/>
  <c r="M88" i="4" s="1"/>
  <c r="M89" i="4"/>
  <c r="D161" i="16" s="1"/>
  <c r="M95" i="4"/>
  <c r="M97" i="4"/>
  <c r="D164" i="16" s="1"/>
  <c r="M102" i="4"/>
  <c r="D168" i="16" s="1"/>
  <c r="F103" i="4"/>
  <c r="M103" i="4"/>
  <c r="F106" i="4"/>
  <c r="M106" i="4"/>
  <c r="D171" i="16" s="1"/>
  <c r="M109" i="4"/>
  <c r="D173" i="16" s="1"/>
  <c r="M112" i="4"/>
  <c r="D176" i="16" s="1"/>
  <c r="M120" i="4"/>
  <c r="D223" i="16" l="1"/>
  <c r="M41" i="4"/>
  <c r="D37" i="16" s="1"/>
  <c r="M146" i="7"/>
  <c r="D191" i="16"/>
  <c r="D184" i="16"/>
  <c r="S5" i="4"/>
  <c r="M56" i="4" s="1"/>
  <c r="M48" i="4"/>
  <c r="D44" i="16" s="1"/>
  <c r="M47" i="4"/>
  <c r="D43" i="16" s="1"/>
  <c r="M40" i="4"/>
  <c r="D36" i="16" s="1"/>
  <c r="M39" i="4"/>
  <c r="D35" i="16" s="1"/>
  <c r="M15" i="15"/>
  <c r="D198" i="16" s="1"/>
  <c r="M55" i="15"/>
  <c r="D245" i="16"/>
  <c r="D248" i="16" s="1"/>
  <c r="D230" i="16"/>
  <c r="M64" i="15"/>
  <c r="M46" i="4"/>
  <c r="D42" i="16" s="1"/>
  <c r="M38" i="4"/>
  <c r="D34" i="16" s="1"/>
  <c r="M94" i="4"/>
  <c r="M37" i="4"/>
  <c r="D33" i="16" s="1"/>
  <c r="M92" i="4"/>
  <c r="M42" i="4"/>
  <c r="D38" i="16" s="1"/>
  <c r="M43" i="4"/>
  <c r="D39" i="16" s="1"/>
  <c r="M113" i="4"/>
  <c r="M23" i="4"/>
  <c r="D19" i="16" s="1"/>
  <c r="M71" i="15"/>
  <c r="M101" i="4"/>
  <c r="D18" i="16"/>
  <c r="M96" i="4"/>
  <c r="M36" i="15"/>
  <c r="D213" i="16" s="1"/>
  <c r="D214" i="16" s="1"/>
  <c r="M14" i="15"/>
  <c r="D197" i="16" s="1"/>
  <c r="M77" i="4" l="1"/>
  <c r="D154" i="16" s="1"/>
  <c r="M107" i="4"/>
  <c r="D172" i="16" s="1"/>
  <c r="M76" i="4"/>
  <c r="D153" i="16" s="1"/>
  <c r="M100" i="4"/>
  <c r="D167" i="16" s="1"/>
  <c r="D20" i="16"/>
  <c r="M40" i="15"/>
  <c r="M41" i="15" s="1"/>
  <c r="D234" i="16" s="1"/>
  <c r="M55" i="4"/>
  <c r="M48" i="15"/>
  <c r="D241" i="16" s="1"/>
  <c r="M57" i="4"/>
  <c r="M54" i="4"/>
  <c r="M53" i="4"/>
  <c r="M44" i="15"/>
  <c r="D237" i="16" s="1"/>
  <c r="D239" i="16" s="1"/>
  <c r="M93" i="4"/>
  <c r="M24" i="4"/>
  <c r="M17" i="4"/>
  <c r="D13" i="16" s="1"/>
  <c r="M37" i="15"/>
  <c r="N12" i="15"/>
  <c r="D195" i="16" s="1"/>
  <c r="D199" i="16" s="1"/>
  <c r="M13" i="4"/>
  <c r="M104" i="4" l="1"/>
  <c r="D156" i="16"/>
  <c r="M82" i="4"/>
  <c r="D243" i="16"/>
  <c r="D16" i="13"/>
  <c r="G16" i="13" s="1"/>
  <c r="D9" i="16"/>
  <c r="D14" i="16" s="1"/>
  <c r="M50" i="15"/>
  <c r="M46" i="15"/>
  <c r="M18" i="4"/>
  <c r="M16" i="15"/>
  <c r="N40" i="15"/>
  <c r="D233" i="16" s="1"/>
  <c r="D235" i="16" l="1"/>
  <c r="D15" i="13"/>
  <c r="G15" i="13" s="1"/>
  <c r="M42" i="15"/>
  <c r="F22" i="1" l="1"/>
  <c r="C19" i="1"/>
  <c r="J38" i="1" l="1"/>
  <c r="D13" i="10" s="1"/>
  <c r="C38" i="1"/>
  <c r="C13" i="10" s="1"/>
  <c r="J25" i="1"/>
  <c r="E18" i="1"/>
  <c r="J18" i="1" s="1"/>
  <c r="J17" i="1"/>
  <c r="M21" i="7" l="1"/>
  <c r="F19" i="1"/>
  <c r="F18" i="1"/>
  <c r="F16" i="1"/>
  <c r="E19" i="1"/>
  <c r="M30" i="7" l="1"/>
  <c r="D346" i="16" s="1"/>
  <c r="M155" i="7"/>
  <c r="D323" i="16" s="1"/>
  <c r="D324" i="16" s="1"/>
  <c r="M152" i="7"/>
  <c r="D320" i="16" s="1"/>
  <c r="M81" i="5" l="1"/>
  <c r="D130" i="16" s="1"/>
  <c r="M89" i="7"/>
  <c r="M86" i="7"/>
  <c r="D272" i="16" s="1"/>
  <c r="M115" i="7" l="1"/>
  <c r="M112" i="7"/>
  <c r="D287" i="16" s="1"/>
  <c r="M71" i="5" l="1"/>
  <c r="M78" i="5"/>
  <c r="D127" i="16" s="1"/>
  <c r="M74" i="5"/>
  <c r="D123" i="16" s="1"/>
  <c r="M69" i="5"/>
  <c r="M70" i="5"/>
  <c r="D121" i="16" l="1"/>
  <c r="H25" i="3"/>
  <c r="H26" i="3"/>
  <c r="B31" i="3"/>
  <c r="B34" i="3" s="1"/>
  <c r="B35" i="3" s="1"/>
  <c r="B38" i="3" s="1"/>
  <c r="M73" i="5"/>
  <c r="M72" i="5"/>
  <c r="M76" i="5"/>
  <c r="D125" i="16" s="1"/>
  <c r="D122" i="16" l="1"/>
  <c r="D14" i="13"/>
  <c r="G14" i="13" s="1"/>
  <c r="M77" i="5"/>
  <c r="D126" i="16" s="1"/>
  <c r="M75" i="5"/>
  <c r="D124" i="16" s="1"/>
  <c r="K27" i="13"/>
  <c r="C27" i="13"/>
  <c r="H18" i="13"/>
  <c r="H12" i="13"/>
  <c r="G12" i="13"/>
  <c r="B3" i="13"/>
  <c r="B2" i="13"/>
  <c r="F44" i="13"/>
  <c r="E44" i="13"/>
  <c r="D44" i="13"/>
  <c r="G41" i="13"/>
  <c r="G40" i="13"/>
  <c r="G39" i="13"/>
  <c r="G38" i="13"/>
  <c r="G37" i="13"/>
  <c r="G36" i="13"/>
  <c r="G35" i="13"/>
  <c r="G34" i="13"/>
  <c r="F22" i="13"/>
  <c r="F4" i="13"/>
  <c r="D128" i="16" l="1"/>
  <c r="L18" i="13"/>
  <c r="K18" i="13"/>
  <c r="H34" i="13"/>
  <c r="H35" i="13"/>
  <c r="H36" i="13"/>
  <c r="H37" i="13"/>
  <c r="H38" i="13"/>
  <c r="H39" i="13"/>
  <c r="H40" i="13"/>
  <c r="H41" i="13"/>
  <c r="G42" i="13"/>
  <c r="G44" i="13" s="1"/>
  <c r="R18" i="13" l="1"/>
  <c r="K39" i="13" s="1"/>
  <c r="S18" i="13"/>
  <c r="H42" i="13"/>
  <c r="H44" i="13" s="1"/>
  <c r="T18" i="13" l="1"/>
  <c r="U18" i="13" s="1"/>
  <c r="V18" i="13" s="1"/>
  <c r="R39" i="13"/>
  <c r="L39" i="13"/>
  <c r="S39" i="13" l="1"/>
  <c r="M39" i="13"/>
  <c r="T39" i="13" s="1"/>
  <c r="N39" i="13" l="1"/>
  <c r="U39" i="13" s="1"/>
  <c r="O39" i="13" l="1"/>
  <c r="V39" i="13" s="1"/>
  <c r="M113" i="7" l="1"/>
  <c r="D288" i="16" s="1"/>
  <c r="M136" i="7" l="1"/>
  <c r="D309" i="16" s="1"/>
  <c r="M114" i="7"/>
  <c r="M84" i="7"/>
  <c r="D270" i="16" s="1"/>
  <c r="D289" i="16" l="1"/>
  <c r="M56" i="7"/>
  <c r="D9" i="10" l="1"/>
  <c r="B25" i="3" l="1"/>
  <c r="M90" i="4" l="1"/>
  <c r="D162" i="16" s="1"/>
  <c r="M91" i="4"/>
  <c r="D163" i="16" s="1"/>
  <c r="M86" i="4"/>
  <c r="M28" i="5"/>
  <c r="D89" i="16" s="1"/>
  <c r="M84" i="4" l="1"/>
  <c r="D158" i="16" s="1"/>
  <c r="L87" i="4"/>
  <c r="M87" i="4"/>
  <c r="D160" i="16" s="1"/>
  <c r="B24" i="3"/>
  <c r="B23" i="3"/>
  <c r="D165" i="16" l="1"/>
  <c r="M98" i="4"/>
  <c r="D169" i="16" s="1"/>
  <c r="B22" i="3"/>
  <c r="B21" i="3"/>
  <c r="M83" i="5" l="1"/>
  <c r="D132" i="16" s="1"/>
  <c r="M25" i="2"/>
  <c r="N24" i="2"/>
  <c r="N23" i="2"/>
  <c r="N22" i="2"/>
  <c r="N21" i="2"/>
  <c r="N25" i="2" l="1"/>
  <c r="M27" i="7"/>
  <c r="M84" i="5" l="1"/>
  <c r="D133" i="16" s="1"/>
  <c r="M41" i="5" l="1"/>
  <c r="D70" i="16" s="1"/>
  <c r="M40" i="5"/>
  <c r="D69" i="16" s="1"/>
  <c r="M39" i="5"/>
  <c r="D68" i="16" s="1"/>
  <c r="M38" i="5"/>
  <c r="D67" i="16" s="1"/>
  <c r="M37" i="5"/>
  <c r="D66" i="16" s="1"/>
  <c r="M36" i="5"/>
  <c r="D65" i="16" s="1"/>
  <c r="M35" i="5"/>
  <c r="D64" i="16" s="1"/>
  <c r="D71" i="16" l="1"/>
  <c r="M82" i="5"/>
  <c r="D131" i="16" s="1"/>
  <c r="M85" i="5" l="1"/>
  <c r="D134" i="16" s="1"/>
  <c r="D135" i="16" s="1"/>
  <c r="M31" i="7"/>
  <c r="M28" i="7"/>
  <c r="M86" i="5" l="1"/>
  <c r="M22" i="5" l="1"/>
  <c r="D83" i="16" s="1"/>
  <c r="D84" i="16" s="1"/>
  <c r="M83" i="7"/>
  <c r="D269" i="16" s="1"/>
  <c r="H17" i="2"/>
  <c r="B14" i="2"/>
  <c r="B17" i="2" s="1"/>
  <c r="J53" i="3"/>
  <c r="H25" i="2"/>
  <c r="J25" i="2" s="1"/>
  <c r="H18" i="2"/>
  <c r="F9" i="3" l="1"/>
  <c r="M87" i="7" l="1"/>
  <c r="M82" i="7"/>
  <c r="D268" i="16" s="1"/>
  <c r="M81" i="7"/>
  <c r="D267" i="16" s="1"/>
  <c r="M98" i="7"/>
  <c r="M94" i="7"/>
  <c r="M96" i="7"/>
  <c r="M93" i="7"/>
  <c r="M26" i="5"/>
  <c r="D87" i="16" s="1"/>
  <c r="M25" i="5"/>
  <c r="D86" i="16" s="1"/>
  <c r="M24" i="7"/>
  <c r="D345" i="16" s="1"/>
  <c r="M19" i="7"/>
  <c r="M52" i="7" l="1"/>
  <c r="T7" i="1" l="1"/>
  <c r="M27" i="15"/>
  <c r="M32" i="15" l="1"/>
  <c r="D209" i="16" s="1"/>
  <c r="M31" i="15"/>
  <c r="M33" i="15"/>
  <c r="B39" i="3"/>
  <c r="B42" i="3" s="1"/>
  <c r="B45" i="3" s="1"/>
  <c r="U4" i="12"/>
  <c r="P9" i="3"/>
  <c r="W2" i="3" s="1"/>
  <c r="Q3" i="7"/>
  <c r="F32" i="1"/>
  <c r="M45" i="5"/>
  <c r="D96" i="16" s="1"/>
  <c r="M46" i="5"/>
  <c r="D97" i="16" s="1"/>
  <c r="M47" i="5"/>
  <c r="D98" i="16" s="1"/>
  <c r="M48" i="5"/>
  <c r="D99" i="16" s="1"/>
  <c r="M49" i="5"/>
  <c r="D100" i="16" s="1"/>
  <c r="M52" i="5"/>
  <c r="D103" i="16" s="1"/>
  <c r="M53" i="5"/>
  <c r="D104" i="16" s="1"/>
  <c r="M27" i="5"/>
  <c r="D88" i="16" s="1"/>
  <c r="M29" i="5"/>
  <c r="D90" i="16" s="1"/>
  <c r="M30" i="5"/>
  <c r="D91" i="16" s="1"/>
  <c r="M31" i="5"/>
  <c r="D92" i="16" s="1"/>
  <c r="M32" i="5"/>
  <c r="D93" i="16" s="1"/>
  <c r="M18" i="5"/>
  <c r="D79" i="16" s="1"/>
  <c r="M19" i="5"/>
  <c r="D80" i="16" s="1"/>
  <c r="L12" i="5"/>
  <c r="M12" i="5" s="1"/>
  <c r="D73" i="16" s="1"/>
  <c r="M13" i="5"/>
  <c r="D74" i="16" s="1"/>
  <c r="M14" i="5"/>
  <c r="D75" i="16" s="1"/>
  <c r="M15" i="5"/>
  <c r="D76" i="16" s="1"/>
  <c r="M25" i="7"/>
  <c r="K21" i="7"/>
  <c r="E56" i="1"/>
  <c r="Q3" i="3" s="1"/>
  <c r="M61" i="7"/>
  <c r="D370" i="16" s="1"/>
  <c r="D371" i="16" s="1"/>
  <c r="D10" i="10"/>
  <c r="D18" i="10"/>
  <c r="J34" i="10"/>
  <c r="E26" i="2"/>
  <c r="K7" i="2"/>
  <c r="K8" i="2"/>
  <c r="K9" i="2"/>
  <c r="K10" i="2"/>
  <c r="K11" i="2"/>
  <c r="F26" i="2"/>
  <c r="M151" i="7" s="1"/>
  <c r="D319" i="16" s="1"/>
  <c r="D321" i="16" s="1"/>
  <c r="J17" i="2"/>
  <c r="H19" i="2"/>
  <c r="J18" i="2"/>
  <c r="H20" i="2"/>
  <c r="J20" i="2" s="1"/>
  <c r="H21" i="2"/>
  <c r="H24" i="2"/>
  <c r="J24" i="2" s="1"/>
  <c r="G55" i="7"/>
  <c r="M55" i="7" s="1"/>
  <c r="M165" i="7"/>
  <c r="M23" i="5"/>
  <c r="B18" i="2"/>
  <c r="B19" i="2" s="1"/>
  <c r="B20" i="2" s="1"/>
  <c r="B21" i="2" s="1"/>
  <c r="B22" i="2" s="1"/>
  <c r="B23" i="2" s="1"/>
  <c r="B24" i="2" s="1"/>
  <c r="B25" i="2" s="1"/>
  <c r="B27" i="2" s="1"/>
  <c r="K12" i="2"/>
  <c r="H22" i="2"/>
  <c r="H23" i="2"/>
  <c r="J23" i="2" s="1"/>
  <c r="B25" i="1"/>
  <c r="B26" i="1" s="1"/>
  <c r="B27" i="1" s="1"/>
  <c r="B28" i="1" s="1"/>
  <c r="B29" i="1" s="1"/>
  <c r="B30" i="1" s="1"/>
  <c r="B31" i="1" s="1"/>
  <c r="B32" i="1" s="1"/>
  <c r="B33" i="1" s="1"/>
  <c r="B34" i="1" s="1"/>
  <c r="B36" i="1" s="1"/>
  <c r="B37" i="1" s="1"/>
  <c r="B38" i="1" s="1"/>
  <c r="B39" i="1" s="1"/>
  <c r="Q6" i="12"/>
  <c r="Q7" i="12" s="1"/>
  <c r="Q8" i="12" s="1"/>
  <c r="Q9" i="12" s="1"/>
  <c r="Q10" i="12" s="1"/>
  <c r="Q11" i="12" s="1"/>
  <c r="Q12" i="12" s="1"/>
  <c r="Q13" i="12" s="1"/>
  <c r="Q14" i="12" s="1"/>
  <c r="Q15" i="12" s="1"/>
  <c r="G2" i="1"/>
  <c r="G1" i="9"/>
  <c r="I1" i="9"/>
  <c r="A2" i="9"/>
  <c r="C2" i="9"/>
  <c r="M5" i="9" s="1"/>
  <c r="G2" i="9"/>
  <c r="C5" i="9"/>
  <c r="N5" i="9" s="1"/>
  <c r="O5" i="9" s="1"/>
  <c r="Q5" i="9" s="1"/>
  <c r="N15" i="9"/>
  <c r="O15" i="9" s="1"/>
  <c r="O9" i="9" s="1"/>
  <c r="C10" i="9"/>
  <c r="N10" i="9" s="1"/>
  <c r="O10" i="9" s="1"/>
  <c r="N11" i="9"/>
  <c r="O11" i="9" s="1"/>
  <c r="I8" i="9"/>
  <c r="I9" i="9"/>
  <c r="I10" i="9"/>
  <c r="I11" i="9"/>
  <c r="N17" i="9"/>
  <c r="O17" i="9" s="1"/>
  <c r="N19" i="9"/>
  <c r="O19" i="9" s="1"/>
  <c r="Q19" i="9" s="1"/>
  <c r="T15" i="9"/>
  <c r="U15" i="9"/>
  <c r="N22" i="9"/>
  <c r="O22" i="9" s="1"/>
  <c r="Q22" i="9" s="1"/>
  <c r="I19" i="9" s="1"/>
  <c r="P19" i="9"/>
  <c r="I21" i="9"/>
  <c r="M22" i="9"/>
  <c r="P22" i="9"/>
  <c r="T29" i="9"/>
  <c r="S57" i="9"/>
  <c r="E1" i="10"/>
  <c r="F1" i="10"/>
  <c r="E2" i="10"/>
  <c r="D5" i="10"/>
  <c r="J16" i="10"/>
  <c r="K16" i="10"/>
  <c r="J30" i="10"/>
  <c r="O155" i="7"/>
  <c r="I26" i="2"/>
  <c r="E1" i="3"/>
  <c r="F1" i="3"/>
  <c r="E2" i="3"/>
  <c r="F2" i="2"/>
  <c r="G2" i="2"/>
  <c r="F3" i="2"/>
  <c r="H381" i="16" l="1"/>
  <c r="I381" i="16" s="1"/>
  <c r="H378" i="16"/>
  <c r="I378" i="16" s="1"/>
  <c r="J387" i="16" s="1"/>
  <c r="H382" i="16"/>
  <c r="I382" i="16" s="1"/>
  <c r="H384" i="16"/>
  <c r="I384" i="16" s="1"/>
  <c r="H380" i="16"/>
  <c r="I380" i="16" s="1"/>
  <c r="H379" i="16"/>
  <c r="I379" i="16" s="1"/>
  <c r="H383" i="16"/>
  <c r="I383" i="16" s="1"/>
  <c r="H385" i="16"/>
  <c r="I385" i="16" s="1"/>
  <c r="H386" i="16"/>
  <c r="I386" i="16" s="1"/>
  <c r="D94" i="16"/>
  <c r="D77" i="16"/>
  <c r="D81" i="16"/>
  <c r="D101" i="16"/>
  <c r="M2" i="7"/>
  <c r="M2" i="4"/>
  <c r="D4" i="16"/>
  <c r="M2" i="5"/>
  <c r="H254" i="16"/>
  <c r="I254" i="16" s="1"/>
  <c r="H148" i="16"/>
  <c r="I148" i="16" s="1"/>
  <c r="H57" i="16"/>
  <c r="I57" i="16" s="1"/>
  <c r="H329" i="16"/>
  <c r="I329" i="16" s="1"/>
  <c r="H256" i="16"/>
  <c r="I256" i="16" s="1"/>
  <c r="H59" i="16"/>
  <c r="I59" i="16" s="1"/>
  <c r="H51" i="16"/>
  <c r="H261" i="16"/>
  <c r="I261" i="16" s="1"/>
  <c r="H253" i="16"/>
  <c r="I253" i="16" s="1"/>
  <c r="H147" i="16"/>
  <c r="I147" i="16" s="1"/>
  <c r="H56" i="16"/>
  <c r="I56" i="16" s="1"/>
  <c r="H331" i="16"/>
  <c r="I331" i="16" s="1"/>
  <c r="H258" i="16"/>
  <c r="I258" i="16" s="1"/>
  <c r="H250" i="16"/>
  <c r="I250" i="16" s="1"/>
  <c r="H188" i="16"/>
  <c r="I188" i="16" s="1"/>
  <c r="H144" i="16"/>
  <c r="I144" i="16" s="1"/>
  <c r="H53" i="16"/>
  <c r="I53" i="16" s="1"/>
  <c r="H255" i="16"/>
  <c r="I255" i="16" s="1"/>
  <c r="H58" i="16"/>
  <c r="I58" i="16" s="1"/>
  <c r="H330" i="16"/>
  <c r="I330" i="16" s="1"/>
  <c r="H257" i="16"/>
  <c r="I257" i="16" s="1"/>
  <c r="H187" i="16"/>
  <c r="I187" i="16" s="1"/>
  <c r="H143" i="16"/>
  <c r="I143" i="16" s="1"/>
  <c r="H52" i="16"/>
  <c r="I52" i="16" s="1"/>
  <c r="H332" i="16"/>
  <c r="I332" i="16" s="1"/>
  <c r="H54" i="16"/>
  <c r="I54" i="16" s="1"/>
  <c r="H189" i="16"/>
  <c r="I189" i="16" s="1"/>
  <c r="H146" i="16"/>
  <c r="I146" i="16" s="1"/>
  <c r="H260" i="16"/>
  <c r="I260" i="16" s="1"/>
  <c r="H252" i="16"/>
  <c r="I252" i="16" s="1"/>
  <c r="H145" i="16"/>
  <c r="I145" i="16" s="1"/>
  <c r="H259" i="16"/>
  <c r="I259" i="16" s="1"/>
  <c r="H55" i="16"/>
  <c r="I55" i="16" s="1"/>
  <c r="H251" i="16"/>
  <c r="I251" i="16" s="1"/>
  <c r="H190" i="16"/>
  <c r="I190" i="16" s="1"/>
  <c r="N27" i="15"/>
  <c r="D207" i="16" s="1"/>
  <c r="D208" i="16"/>
  <c r="M22" i="15"/>
  <c r="M20" i="15"/>
  <c r="D203" i="16" s="1"/>
  <c r="M18" i="15"/>
  <c r="D201" i="16" s="1"/>
  <c r="M19" i="15"/>
  <c r="M24" i="15"/>
  <c r="D204" i="16" s="1"/>
  <c r="M2" i="15"/>
  <c r="J19" i="2"/>
  <c r="U2" i="4"/>
  <c r="U3" i="4" s="1"/>
  <c r="S16" i="4"/>
  <c r="M118" i="4"/>
  <c r="F2" i="10"/>
  <c r="B40" i="1"/>
  <c r="B41" i="1" s="1"/>
  <c r="B42" i="1" s="1"/>
  <c r="M153" i="7"/>
  <c r="B46" i="3"/>
  <c r="B47" i="3" s="1"/>
  <c r="B48" i="3" s="1"/>
  <c r="B49" i="3" s="1"/>
  <c r="B50" i="3" s="1"/>
  <c r="B52" i="3" s="1"/>
  <c r="B53" i="3" s="1"/>
  <c r="B55" i="3" s="1"/>
  <c r="J22" i="2"/>
  <c r="O18" i="9"/>
  <c r="P18" i="9" s="1"/>
  <c r="P15" i="9"/>
  <c r="P9" i="9" s="1"/>
  <c r="M54" i="7"/>
  <c r="J21" i="2"/>
  <c r="M29" i="7"/>
  <c r="D348" i="16" s="1"/>
  <c r="M14" i="2"/>
  <c r="D15" i="9"/>
  <c r="I16" i="9"/>
  <c r="J19" i="1"/>
  <c r="J24" i="1" s="1"/>
  <c r="J26" i="1" s="1"/>
  <c r="D18" i="9"/>
  <c r="Q7" i="3"/>
  <c r="W4" i="3"/>
  <c r="M54" i="5"/>
  <c r="D105" i="16" s="1"/>
  <c r="D11" i="10"/>
  <c r="D17" i="10" s="1"/>
  <c r="Q2" i="7"/>
  <c r="Q16" i="12"/>
  <c r="Q17" i="12" s="1"/>
  <c r="Q18" i="12" s="1"/>
  <c r="Q19" i="12" s="1"/>
  <c r="M79" i="5"/>
  <c r="M20" i="5"/>
  <c r="M42" i="5"/>
  <c r="M50" i="5"/>
  <c r="H26" i="2"/>
  <c r="U1" i="4" s="1"/>
  <c r="M156" i="7"/>
  <c r="M16" i="5"/>
  <c r="F2" i="3"/>
  <c r="I2" i="9"/>
  <c r="G3" i="2"/>
  <c r="Q20" i="12" l="1"/>
  <c r="Q21" i="12" s="1"/>
  <c r="Q22" i="12" s="1"/>
  <c r="Q3" i="12"/>
  <c r="I8" i="12" s="1"/>
  <c r="D185" i="16"/>
  <c r="D181" i="16"/>
  <c r="D210" i="16"/>
  <c r="J149" i="16"/>
  <c r="J262" i="16"/>
  <c r="D202" i="16"/>
  <c r="D205" i="16" s="1"/>
  <c r="J191" i="16"/>
  <c r="J333" i="16"/>
  <c r="M25" i="15"/>
  <c r="M88" i="15" s="1"/>
  <c r="V18" i="4"/>
  <c r="V17" i="4"/>
  <c r="Q23" i="12"/>
  <c r="Q24" i="12" s="1"/>
  <c r="Q25" i="12" s="1"/>
  <c r="Q26" i="12" s="1"/>
  <c r="Q27" i="12" s="1"/>
  <c r="Q28" i="12" s="1"/>
  <c r="Q29" i="12" s="1"/>
  <c r="Q30" i="12" s="1"/>
  <c r="Q31" i="12" s="1"/>
  <c r="Q32" i="12" s="1"/>
  <c r="Q33" i="12" s="1"/>
  <c r="Q34" i="12" s="1"/>
  <c r="Q35" i="12" s="1"/>
  <c r="Q36" i="12" s="1"/>
  <c r="Q37" i="12" s="1"/>
  <c r="Q38" i="12" s="1"/>
  <c r="Q39" i="12" s="1"/>
  <c r="Q40" i="12" s="1"/>
  <c r="E10" i="2"/>
  <c r="J22" i="1"/>
  <c r="M12" i="7"/>
  <c r="M56" i="5"/>
  <c r="D110" i="16" s="1"/>
  <c r="K14" i="13"/>
  <c r="M60" i="5"/>
  <c r="D114" i="16" s="1"/>
  <c r="M63" i="5"/>
  <c r="D117" i="16" s="1"/>
  <c r="M61" i="5"/>
  <c r="D115" i="16" s="1"/>
  <c r="M62" i="5"/>
  <c r="D116" i="16" s="1"/>
  <c r="M59" i="5"/>
  <c r="D113" i="16" s="1"/>
  <c r="M58" i="5"/>
  <c r="D112" i="16" s="1"/>
  <c r="Q15" i="9"/>
  <c r="M40" i="7"/>
  <c r="D357" i="16" s="1"/>
  <c r="M39" i="7"/>
  <c r="D356" i="16" s="1"/>
  <c r="J26" i="2"/>
  <c r="AF10" i="2"/>
  <c r="M139" i="7"/>
  <c r="D312" i="16" s="1"/>
  <c r="Q6" i="3"/>
  <c r="P7" i="3" s="1"/>
  <c r="M37" i="7"/>
  <c r="D354" i="16" s="1"/>
  <c r="M26" i="7"/>
  <c r="D347" i="16" s="1"/>
  <c r="M67" i="5"/>
  <c r="D107" i="16" s="1"/>
  <c r="D108" i="16" s="1"/>
  <c r="D14" i="10"/>
  <c r="D19" i="10" s="1"/>
  <c r="D20" i="10" s="1"/>
  <c r="D21" i="10" s="1"/>
  <c r="D26" i="10" s="1"/>
  <c r="D139" i="16" s="1"/>
  <c r="P4" i="3"/>
  <c r="P3" i="3"/>
  <c r="M141" i="7"/>
  <c r="D313" i="16" s="1"/>
  <c r="M34" i="7"/>
  <c r="D351" i="16" s="1"/>
  <c r="D352" i="16" s="1"/>
  <c r="M43" i="7"/>
  <c r="D360" i="16" s="1"/>
  <c r="M38" i="7"/>
  <c r="D355" i="16" s="1"/>
  <c r="M57" i="5"/>
  <c r="D111" i="16" s="1"/>
  <c r="M41" i="7"/>
  <c r="D358" i="16" s="1"/>
  <c r="M42" i="7"/>
  <c r="D359" i="16" s="1"/>
  <c r="O37" i="7"/>
  <c r="M33" i="5"/>
  <c r="D17" i="13" l="1"/>
  <c r="G17" i="13" s="1"/>
  <c r="D349" i="16"/>
  <c r="D20" i="13"/>
  <c r="G20" i="13" s="1"/>
  <c r="D361" i="16"/>
  <c r="D314" i="16"/>
  <c r="D263" i="16"/>
  <c r="M26" i="4"/>
  <c r="D22" i="16" s="1"/>
  <c r="M27" i="4"/>
  <c r="D23" i="16" s="1"/>
  <c r="M32" i="4"/>
  <c r="D28" i="16" s="1"/>
  <c r="M35" i="4"/>
  <c r="D31" i="16" s="1"/>
  <c r="M33" i="4"/>
  <c r="D29" i="16" s="1"/>
  <c r="M50" i="4"/>
  <c r="D46" i="16" s="1"/>
  <c r="M34" i="4"/>
  <c r="D30" i="16" s="1"/>
  <c r="M49" i="4"/>
  <c r="D45" i="16" s="1"/>
  <c r="M29" i="4"/>
  <c r="D25" i="16" s="1"/>
  <c r="M36" i="4"/>
  <c r="D32" i="16" s="1"/>
  <c r="M51" i="4"/>
  <c r="D47" i="16" s="1"/>
  <c r="M30" i="4"/>
  <c r="D26" i="16" s="1"/>
  <c r="M52" i="4"/>
  <c r="D48" i="16" s="1"/>
  <c r="M31" i="4"/>
  <c r="D27" i="16" s="1"/>
  <c r="M28" i="4"/>
  <c r="D24" i="16" s="1"/>
  <c r="I7" i="12"/>
  <c r="D17" i="12"/>
  <c r="H6" i="12"/>
  <c r="D9" i="12"/>
  <c r="H11" i="12"/>
  <c r="H121" i="16" s="1"/>
  <c r="I121" i="16" s="1"/>
  <c r="D15" i="12"/>
  <c r="H229" i="16" s="1"/>
  <c r="I229" i="16" s="1"/>
  <c r="D10" i="12"/>
  <c r="N11" i="12"/>
  <c r="D19" i="12"/>
  <c r="N6" i="12"/>
  <c r="K11" i="12"/>
  <c r="D7" i="12"/>
  <c r="D11" i="12"/>
  <c r="J6" i="12"/>
  <c r="H15" i="12"/>
  <c r="H25" i="12"/>
  <c r="H357" i="16" s="1"/>
  <c r="I357" i="16" s="1"/>
  <c r="K6" i="12"/>
  <c r="D8" i="12"/>
  <c r="H13" i="12"/>
  <c r="K7" i="12"/>
  <c r="D20" i="12"/>
  <c r="H27" i="12"/>
  <c r="H355" i="16" s="1"/>
  <c r="I355" i="16" s="1"/>
  <c r="N8" i="12"/>
  <c r="D6" i="12"/>
  <c r="N10" i="12"/>
  <c r="N7" i="12"/>
  <c r="D12" i="12"/>
  <c r="J8" i="12"/>
  <c r="J7" i="12"/>
  <c r="D13" i="12"/>
  <c r="H17" i="12"/>
  <c r="D14" i="12"/>
  <c r="H7" i="12"/>
  <c r="I6" i="12"/>
  <c r="D16" i="12"/>
  <c r="K8" i="12"/>
  <c r="H26" i="12"/>
  <c r="H356" i="16" s="1"/>
  <c r="I356" i="16" s="1"/>
  <c r="H8" i="12"/>
  <c r="I11" i="12"/>
  <c r="N9" i="12"/>
  <c r="H19" i="12"/>
  <c r="H342" i="16" s="1"/>
  <c r="J11" i="12"/>
  <c r="H124" i="16" s="1"/>
  <c r="I124" i="16" s="1"/>
  <c r="D18" i="12"/>
  <c r="H21" i="12"/>
  <c r="E22" i="1"/>
  <c r="J23" i="1" s="1"/>
  <c r="M20" i="7" s="1"/>
  <c r="M22" i="7" s="1"/>
  <c r="D342" i="16" s="1"/>
  <c r="M15" i="7"/>
  <c r="D338" i="16" s="1"/>
  <c r="M16" i="7"/>
  <c r="D339" i="16" s="1"/>
  <c r="M64" i="5"/>
  <c r="D118" i="16" s="1"/>
  <c r="R14" i="13"/>
  <c r="K35" i="13" s="1"/>
  <c r="Q9" i="9"/>
  <c r="P8" i="9" s="1"/>
  <c r="P11" i="9" s="1"/>
  <c r="Q11" i="9" s="1"/>
  <c r="D11" i="9" s="1"/>
  <c r="D6" i="9"/>
  <c r="P6" i="3"/>
  <c r="M32" i="7"/>
  <c r="D25" i="10"/>
  <c r="D138" i="16" s="1"/>
  <c r="D27" i="10"/>
  <c r="D140" i="16" s="1"/>
  <c r="D24" i="10"/>
  <c r="D137" i="16" s="1"/>
  <c r="M44" i="7"/>
  <c r="M35" i="7"/>
  <c r="M142" i="7"/>
  <c r="K17" i="13" l="1"/>
  <c r="R17" i="13" s="1"/>
  <c r="K38" i="13" s="1"/>
  <c r="D343" i="16"/>
  <c r="D19" i="13"/>
  <c r="G19" i="13" s="1"/>
  <c r="I342" i="16"/>
  <c r="J343" i="16" s="1"/>
  <c r="D141" i="16"/>
  <c r="H339" i="16"/>
  <c r="I339" i="16" s="1"/>
  <c r="H338" i="16"/>
  <c r="I338" i="16" s="1"/>
  <c r="H337" i="16"/>
  <c r="H65" i="16"/>
  <c r="I65" i="16" s="1"/>
  <c r="H88" i="16"/>
  <c r="I88" i="16" s="1"/>
  <c r="H67" i="16"/>
  <c r="I67" i="16" s="1"/>
  <c r="H66" i="16"/>
  <c r="I66" i="16" s="1"/>
  <c r="H68" i="16"/>
  <c r="I68" i="16" s="1"/>
  <c r="H208" i="16"/>
  <c r="I208" i="16" s="1"/>
  <c r="H201" i="16"/>
  <c r="I201" i="16" s="1"/>
  <c r="H374" i="16"/>
  <c r="H104" i="16"/>
  <c r="I104" i="16" s="1"/>
  <c r="H97" i="16"/>
  <c r="I97" i="16" s="1"/>
  <c r="H295" i="16"/>
  <c r="H87" i="16"/>
  <c r="I87" i="16" s="1"/>
  <c r="H373" i="16"/>
  <c r="H131" i="16"/>
  <c r="I131" i="16" s="1"/>
  <c r="H164" i="16"/>
  <c r="I164" i="16" s="1"/>
  <c r="H213" i="16"/>
  <c r="I213" i="16" s="1"/>
  <c r="H162" i="16"/>
  <c r="I162" i="16" s="1"/>
  <c r="H173" i="16"/>
  <c r="I173" i="16" s="1"/>
  <c r="H172" i="16"/>
  <c r="I172" i="16" s="1"/>
  <c r="H163" i="16"/>
  <c r="I163" i="16" s="1"/>
  <c r="H320" i="16"/>
  <c r="I320" i="16" s="1"/>
  <c r="H375" i="16"/>
  <c r="H294" i="16"/>
  <c r="H74" i="16"/>
  <c r="I74" i="16" s="1"/>
  <c r="H73" i="16"/>
  <c r="I73" i="16" s="1"/>
  <c r="H103" i="16"/>
  <c r="I103" i="16" s="1"/>
  <c r="H130" i="16"/>
  <c r="I130" i="16" s="1"/>
  <c r="H18" i="16"/>
  <c r="I18" i="16" s="1"/>
  <c r="H86" i="16"/>
  <c r="I86" i="16" s="1"/>
  <c r="H22" i="16"/>
  <c r="I22" i="16" s="1"/>
  <c r="H181" i="16"/>
  <c r="H217" i="16"/>
  <c r="I217" i="16" s="1"/>
  <c r="H226" i="16"/>
  <c r="I226" i="16" s="1"/>
  <c r="H10" i="16"/>
  <c r="I10" i="16" s="1"/>
  <c r="H19" i="16"/>
  <c r="I19" i="16" s="1"/>
  <c r="H273" i="16"/>
  <c r="H269" i="16"/>
  <c r="I269" i="16" s="1"/>
  <c r="H64" i="16"/>
  <c r="I64" i="16" s="1"/>
  <c r="H272" i="16"/>
  <c r="I272" i="16" s="1"/>
  <c r="H11" i="16"/>
  <c r="I11" i="16" s="1"/>
  <c r="H268" i="16"/>
  <c r="I268" i="16" s="1"/>
  <c r="H99" i="16"/>
  <c r="I99" i="16" s="1"/>
  <c r="H69" i="16"/>
  <c r="I69" i="16" s="1"/>
  <c r="H297" i="16"/>
  <c r="H90" i="16"/>
  <c r="I90" i="16" s="1"/>
  <c r="H39" i="16"/>
  <c r="I39" i="16" s="1"/>
  <c r="H25" i="16"/>
  <c r="I25" i="16" s="1"/>
  <c r="H31" i="16"/>
  <c r="I31" i="16" s="1"/>
  <c r="H43" i="16"/>
  <c r="I43" i="16" s="1"/>
  <c r="H28" i="16"/>
  <c r="I28" i="16" s="1"/>
  <c r="H155" i="16"/>
  <c r="I155" i="16" s="1"/>
  <c r="H346" i="16"/>
  <c r="I346" i="16" s="1"/>
  <c r="H34" i="16"/>
  <c r="I34" i="16" s="1"/>
  <c r="H98" i="16"/>
  <c r="I98" i="16" s="1"/>
  <c r="H154" i="16"/>
  <c r="I154" i="16" s="1"/>
  <c r="H100" i="16"/>
  <c r="I100" i="16" s="1"/>
  <c r="H75" i="16"/>
  <c r="I75" i="16" s="1"/>
  <c r="H16" i="16"/>
  <c r="I16" i="16" s="1"/>
  <c r="H12" i="16"/>
  <c r="I12" i="16" s="1"/>
  <c r="H9" i="16"/>
  <c r="I9" i="16" s="1"/>
  <c r="H83" i="16"/>
  <c r="I83" i="16" s="1"/>
  <c r="J84" i="16" s="1"/>
  <c r="H17" i="16"/>
  <c r="I17" i="16" s="1"/>
  <c r="H326" i="16"/>
  <c r="H351" i="16"/>
  <c r="I351" i="16" s="1"/>
  <c r="J352" i="16" s="1"/>
  <c r="H134" i="16"/>
  <c r="I134" i="16" s="1"/>
  <c r="H367" i="16"/>
  <c r="H47" i="16"/>
  <c r="I47" i="16" s="1"/>
  <c r="H44" i="16"/>
  <c r="I44" i="16" s="1"/>
  <c r="H37" i="16"/>
  <c r="I37" i="16" s="1"/>
  <c r="H29" i="16"/>
  <c r="I29" i="16" s="1"/>
  <c r="H227" i="16"/>
  <c r="I227" i="16" s="1"/>
  <c r="H80" i="16"/>
  <c r="I80" i="16" s="1"/>
  <c r="H139" i="16"/>
  <c r="I139" i="16" s="1"/>
  <c r="H178" i="16"/>
  <c r="H363" i="16"/>
  <c r="H323" i="16"/>
  <c r="I323" i="16" s="1"/>
  <c r="J324" i="16" s="1"/>
  <c r="H184" i="16"/>
  <c r="I184" i="16" s="1"/>
  <c r="J185" i="16" s="1"/>
  <c r="H13" i="16"/>
  <c r="I13" i="16" s="1"/>
  <c r="H370" i="16"/>
  <c r="I370" i="16" s="1"/>
  <c r="J371" i="16" s="1"/>
  <c r="H360" i="16"/>
  <c r="I360" i="16" s="1"/>
  <c r="H91" i="16"/>
  <c r="I91" i="16" s="1"/>
  <c r="H35" i="16"/>
  <c r="I35" i="16" s="1"/>
  <c r="H358" i="16"/>
  <c r="I358" i="16" s="1"/>
  <c r="H23" i="16"/>
  <c r="I23" i="16" s="1"/>
  <c r="H177" i="16"/>
  <c r="H176" i="16"/>
  <c r="H316" i="16"/>
  <c r="H247" i="16"/>
  <c r="I247" i="16" s="1"/>
  <c r="H107" i="16"/>
  <c r="I107" i="16" s="1"/>
  <c r="J108" i="16" s="1"/>
  <c r="H175" i="16"/>
  <c r="H313" i="16"/>
  <c r="I313" i="16" s="1"/>
  <c r="H48" i="16"/>
  <c r="I48" i="16" s="1"/>
  <c r="H32" i="16"/>
  <c r="I32" i="16" s="1"/>
  <c r="H26" i="16"/>
  <c r="I26" i="16" s="1"/>
  <c r="H204" i="16"/>
  <c r="I204" i="16" s="1"/>
  <c r="H127" i="16"/>
  <c r="I127" i="16" s="1"/>
  <c r="H76" i="16"/>
  <c r="I76" i="16" s="1"/>
  <c r="H24" i="16"/>
  <c r="I24" i="16" s="1"/>
  <c r="H195" i="16"/>
  <c r="I195" i="16" s="1"/>
  <c r="H36" i="16"/>
  <c r="I36" i="16" s="1"/>
  <c r="H38" i="16"/>
  <c r="I38" i="16" s="1"/>
  <c r="H30" i="16"/>
  <c r="I30" i="16" s="1"/>
  <c r="H202" i="16"/>
  <c r="I202" i="16" s="1"/>
  <c r="H33" i="16"/>
  <c r="I33" i="16" s="1"/>
  <c r="H207" i="16"/>
  <c r="I207" i="16" s="1"/>
  <c r="H92" i="16"/>
  <c r="I92" i="16" s="1"/>
  <c r="H93" i="16"/>
  <c r="I93" i="16" s="1"/>
  <c r="H366" i="16"/>
  <c r="H46" i="16"/>
  <c r="I46" i="16" s="1"/>
  <c r="H27" i="16"/>
  <c r="I27" i="16" s="1"/>
  <c r="H42" i="16"/>
  <c r="I42" i="16" s="1"/>
  <c r="H45" i="16"/>
  <c r="I45" i="16" s="1"/>
  <c r="H203" i="16"/>
  <c r="I203" i="16" s="1"/>
  <c r="H89" i="16"/>
  <c r="I89" i="16" s="1"/>
  <c r="H40" i="16"/>
  <c r="I40" i="16" s="1"/>
  <c r="H41" i="16"/>
  <c r="I41" i="16" s="1"/>
  <c r="H171" i="16"/>
  <c r="I171" i="16" s="1"/>
  <c r="H96" i="16"/>
  <c r="I96" i="16" s="1"/>
  <c r="H347" i="16"/>
  <c r="I347" i="16" s="1"/>
  <c r="H110" i="16"/>
  <c r="I110" i="16" s="1"/>
  <c r="H354" i="16"/>
  <c r="I354" i="16" s="1"/>
  <c r="D49" i="16"/>
  <c r="H123" i="16"/>
  <c r="I123" i="16" s="1"/>
  <c r="H132" i="16"/>
  <c r="I132" i="16" s="1"/>
  <c r="H140" i="16"/>
  <c r="I140" i="16" s="1"/>
  <c r="H319" i="16"/>
  <c r="I319" i="16" s="1"/>
  <c r="H126" i="16"/>
  <c r="I126" i="16" s="1"/>
  <c r="H70" i="16"/>
  <c r="I70" i="16" s="1"/>
  <c r="H174" i="16"/>
  <c r="H168" i="16"/>
  <c r="I168" i="16" s="1"/>
  <c r="H167" i="16"/>
  <c r="I167" i="16" s="1"/>
  <c r="H233" i="16"/>
  <c r="I233" i="16" s="1"/>
  <c r="H212" i="16"/>
  <c r="I212" i="16" s="1"/>
  <c r="H133" i="16"/>
  <c r="I133" i="16" s="1"/>
  <c r="H312" i="16"/>
  <c r="I312" i="16" s="1"/>
  <c r="H218" i="16"/>
  <c r="I218" i="16" s="1"/>
  <c r="H270" i="16"/>
  <c r="I270" i="16" s="1"/>
  <c r="H221" i="16"/>
  <c r="I221" i="16" s="1"/>
  <c r="H266" i="16"/>
  <c r="H345" i="16"/>
  <c r="I345" i="16" s="1"/>
  <c r="H306" i="16"/>
  <c r="H242" i="16"/>
  <c r="I242" i="16" s="1"/>
  <c r="H111" i="16"/>
  <c r="I111" i="16" s="1"/>
  <c r="H293" i="16"/>
  <c r="H237" i="16"/>
  <c r="I237" i="16" s="1"/>
  <c r="H122" i="16"/>
  <c r="I122" i="16" s="1"/>
  <c r="H309" i="16"/>
  <c r="I309" i="16" s="1"/>
  <c r="H287" i="16"/>
  <c r="I287" i="16" s="1"/>
  <c r="H308" i="16"/>
  <c r="H225" i="16"/>
  <c r="I225" i="16" s="1"/>
  <c r="H304" i="16"/>
  <c r="H290" i="16"/>
  <c r="H359" i="16"/>
  <c r="I359" i="16" s="1"/>
  <c r="H289" i="16"/>
  <c r="I289" i="16" s="1"/>
  <c r="H305" i="16"/>
  <c r="H307" i="16"/>
  <c r="H288" i="16"/>
  <c r="I288" i="16" s="1"/>
  <c r="H234" i="16"/>
  <c r="I234" i="16" s="1"/>
  <c r="H300" i="16"/>
  <c r="H241" i="16"/>
  <c r="I241" i="16" s="1"/>
  <c r="H153" i="16"/>
  <c r="I153" i="16" s="1"/>
  <c r="H216" i="16"/>
  <c r="I216" i="16" s="1"/>
  <c r="H246" i="16"/>
  <c r="I246" i="16" s="1"/>
  <c r="H303" i="16"/>
  <c r="H245" i="16"/>
  <c r="I245" i="16" s="1"/>
  <c r="H220" i="16"/>
  <c r="I220" i="16" s="1"/>
  <c r="H79" i="16"/>
  <c r="I79" i="16" s="1"/>
  <c r="H116" i="16"/>
  <c r="I116" i="16" s="1"/>
  <c r="H219" i="16"/>
  <c r="I219" i="16" s="1"/>
  <c r="H280" i="16"/>
  <c r="H277" i="16"/>
  <c r="H283" i="16"/>
  <c r="H198" i="16"/>
  <c r="I198" i="16" s="1"/>
  <c r="H112" i="16"/>
  <c r="I112" i="16" s="1"/>
  <c r="H209" i="16"/>
  <c r="I209" i="16" s="1"/>
  <c r="H279" i="16"/>
  <c r="H296" i="16"/>
  <c r="H118" i="16"/>
  <c r="H197" i="16"/>
  <c r="I197" i="16" s="1"/>
  <c r="H138" i="16"/>
  <c r="I138" i="16" s="1"/>
  <c r="H348" i="16"/>
  <c r="I348" i="16" s="1"/>
  <c r="H278" i="16"/>
  <c r="H196" i="16"/>
  <c r="I196" i="16" s="1"/>
  <c r="H114" i="16"/>
  <c r="I114" i="16" s="1"/>
  <c r="H267" i="16"/>
  <c r="I267" i="16" s="1"/>
  <c r="H222" i="16"/>
  <c r="I222" i="16" s="1"/>
  <c r="H271" i="16"/>
  <c r="H284" i="16"/>
  <c r="H276" i="16"/>
  <c r="H137" i="16"/>
  <c r="I137" i="16" s="1"/>
  <c r="H125" i="16"/>
  <c r="I125" i="16" s="1"/>
  <c r="H238" i="16"/>
  <c r="I238" i="16" s="1"/>
  <c r="H115" i="16"/>
  <c r="I115" i="16" s="1"/>
  <c r="H117" i="16"/>
  <c r="I117" i="16" s="1"/>
  <c r="H113" i="16"/>
  <c r="I113" i="16" s="1"/>
  <c r="H228" i="16"/>
  <c r="I228" i="16" s="1"/>
  <c r="H160" i="16"/>
  <c r="I160" i="16" s="1"/>
  <c r="H159" i="16"/>
  <c r="I159" i="16" s="1"/>
  <c r="H158" i="16"/>
  <c r="I158" i="16" s="1"/>
  <c r="H161" i="16"/>
  <c r="I161" i="16" s="1"/>
  <c r="M59" i="4"/>
  <c r="H17" i="13"/>
  <c r="P10" i="9"/>
  <c r="Q10" i="9" s="1"/>
  <c r="D10" i="9" s="1"/>
  <c r="K20" i="13"/>
  <c r="R35" i="13"/>
  <c r="M65" i="5"/>
  <c r="Q8" i="9"/>
  <c r="Q16" i="9" s="1"/>
  <c r="P17" i="9" s="1"/>
  <c r="Q17" i="9" s="1"/>
  <c r="D14" i="9" s="1"/>
  <c r="N49" i="9"/>
  <c r="N51" i="9"/>
  <c r="D28" i="10"/>
  <c r="M95" i="5" l="1"/>
  <c r="D119" i="16"/>
  <c r="D150" i="16" s="1"/>
  <c r="J81" i="16"/>
  <c r="J314" i="16"/>
  <c r="J243" i="16"/>
  <c r="J214" i="16"/>
  <c r="J105" i="16"/>
  <c r="J321" i="16"/>
  <c r="J20" i="16"/>
  <c r="J156" i="16"/>
  <c r="J169" i="16"/>
  <c r="J291" i="16"/>
  <c r="J349" i="16"/>
  <c r="J235" i="16"/>
  <c r="J128" i="16"/>
  <c r="J199" i="16"/>
  <c r="J14" i="16"/>
  <c r="J94" i="16"/>
  <c r="J223" i="16"/>
  <c r="D60" i="16"/>
  <c r="D61" i="16" s="1"/>
  <c r="I51" i="16"/>
  <c r="J60" i="16" s="1"/>
  <c r="J239" i="16"/>
  <c r="J361" i="16"/>
  <c r="J210" i="16"/>
  <c r="J135" i="16"/>
  <c r="J165" i="16"/>
  <c r="J77" i="16"/>
  <c r="J141" i="16"/>
  <c r="J230" i="16"/>
  <c r="J101" i="16"/>
  <c r="J119" i="16"/>
  <c r="J248" i="16"/>
  <c r="J205" i="16"/>
  <c r="J71" i="16"/>
  <c r="J49" i="16"/>
  <c r="M72" i="4"/>
  <c r="N50" i="9"/>
  <c r="N52" i="9" s="1"/>
  <c r="N53" i="9" s="1"/>
  <c r="K19" i="13"/>
  <c r="R19" i="13" s="1"/>
  <c r="K40" i="13" s="1"/>
  <c r="R40" i="13" s="1"/>
  <c r="H20" i="13"/>
  <c r="L20" i="13"/>
  <c r="L17" i="13"/>
  <c r="S17" i="13" s="1"/>
  <c r="T17" i="13" s="1"/>
  <c r="U17" i="13" s="1"/>
  <c r="R20" i="13"/>
  <c r="K41" i="13" s="1"/>
  <c r="R38" i="13"/>
  <c r="L38" i="13"/>
  <c r="K16" i="13"/>
  <c r="H16" i="13"/>
  <c r="L16" i="13"/>
  <c r="F16" i="9"/>
  <c r="G16" i="9" s="1"/>
  <c r="J16" i="9" s="1"/>
  <c r="I118" i="16" l="1"/>
  <c r="S20" i="13"/>
  <c r="T20" i="13" s="1"/>
  <c r="U20" i="13" s="1"/>
  <c r="V20" i="13" s="1"/>
  <c r="R16" i="13"/>
  <c r="K37" i="13" s="1"/>
  <c r="V17" i="13"/>
  <c r="H14" i="13"/>
  <c r="L14" i="13"/>
  <c r="S14" i="13" s="1"/>
  <c r="T14" i="13" s="1"/>
  <c r="U14" i="13" s="1"/>
  <c r="V14" i="13" s="1"/>
  <c r="L35" i="13"/>
  <c r="R41" i="13"/>
  <c r="L41" i="13"/>
  <c r="S38" i="13"/>
  <c r="M38" i="13"/>
  <c r="T38" i="13" s="1"/>
  <c r="N59" i="9"/>
  <c r="O59" i="9"/>
  <c r="Q58" i="9"/>
  <c r="Q59" i="9"/>
  <c r="Q60" i="9"/>
  <c r="N60" i="9"/>
  <c r="O60" i="9"/>
  <c r="G23" i="9"/>
  <c r="G24" i="9" s="1"/>
  <c r="P58" i="9"/>
  <c r="N58" i="9"/>
  <c r="O58" i="9"/>
  <c r="P60" i="9"/>
  <c r="P59" i="9"/>
  <c r="H15" i="13" l="1"/>
  <c r="L15" i="13"/>
  <c r="K15" i="13"/>
  <c r="R37" i="13"/>
  <c r="L37" i="13"/>
  <c r="S16" i="13"/>
  <c r="T16" i="13" s="1"/>
  <c r="U16" i="13" s="1"/>
  <c r="V16" i="13" s="1"/>
  <c r="S35" i="13"/>
  <c r="M35" i="13"/>
  <c r="T35" i="13" s="1"/>
  <c r="S41" i="13"/>
  <c r="M41" i="13"/>
  <c r="T41" i="13" s="1"/>
  <c r="N38" i="13"/>
  <c r="U38" i="13" s="1"/>
  <c r="O62" i="9"/>
  <c r="G9" i="9" s="1"/>
  <c r="J9" i="9" s="1"/>
  <c r="Q62" i="9"/>
  <c r="G11" i="9" s="1"/>
  <c r="J11" i="9" s="1"/>
  <c r="S58" i="9"/>
  <c r="N62" i="9"/>
  <c r="S60" i="9"/>
  <c r="P62" i="9"/>
  <c r="G10" i="9" s="1"/>
  <c r="J10" i="9" s="1"/>
  <c r="S59" i="9"/>
  <c r="R15" i="13" l="1"/>
  <c r="K36" i="13" s="1"/>
  <c r="S37" i="13"/>
  <c r="M37" i="13"/>
  <c r="T37" i="13" s="1"/>
  <c r="N41" i="13"/>
  <c r="U41" i="13" s="1"/>
  <c r="N35" i="13"/>
  <c r="O38" i="13"/>
  <c r="V38" i="13" s="1"/>
  <c r="G8" i="9"/>
  <c r="J8" i="9" s="1"/>
  <c r="J12" i="9" s="1"/>
  <c r="S62" i="9"/>
  <c r="N37" i="13" l="1"/>
  <c r="U37" i="13" s="1"/>
  <c r="R36" i="13"/>
  <c r="L36" i="13"/>
  <c r="S15" i="13"/>
  <c r="O41" i="13"/>
  <c r="V41" i="13" s="1"/>
  <c r="U35" i="13"/>
  <c r="O35" i="13"/>
  <c r="V35" i="13" s="1"/>
  <c r="G12" i="9"/>
  <c r="I12" i="9" s="1"/>
  <c r="F19" i="9"/>
  <c r="G19" i="9" s="1"/>
  <c r="J19" i="9" s="1"/>
  <c r="J21" i="9" s="1"/>
  <c r="J23" i="9" s="1"/>
  <c r="J24" i="9" s="1"/>
  <c r="O37" i="13" l="1"/>
  <c r="V37" i="13" s="1"/>
  <c r="T15" i="13"/>
  <c r="U15" i="13" s="1"/>
  <c r="S36" i="13"/>
  <c r="M36" i="13"/>
  <c r="T36" i="13" s="1"/>
  <c r="N36" i="13" l="1"/>
  <c r="U36" i="13" s="1"/>
  <c r="V15" i="13"/>
  <c r="O36" i="13" l="1"/>
  <c r="V36" i="13" s="1"/>
  <c r="N115" i="7" l="1"/>
  <c r="D290" i="16" s="1"/>
  <c r="D291" i="16" l="1"/>
  <c r="I290" i="16"/>
  <c r="M116" i="7"/>
  <c r="N12" i="7" l="1"/>
  <c r="D337" i="16" s="1"/>
  <c r="D340" i="16" l="1"/>
  <c r="I337" i="16"/>
  <c r="J340" i="16" s="1"/>
  <c r="M17" i="7"/>
  <c r="L40" i="13" l="1"/>
  <c r="L19" i="13"/>
  <c r="S19" i="13" s="1"/>
  <c r="H19" i="13"/>
  <c r="M40" i="13" l="1"/>
  <c r="T40" i="13" s="1"/>
  <c r="S40" i="13"/>
  <c r="T19" i="13"/>
  <c r="U19" i="13" s="1"/>
  <c r="N40" i="13" l="1"/>
  <c r="V19" i="13"/>
  <c r="U40" i="13" l="1"/>
  <c r="O40" i="13"/>
  <c r="V40" i="13" s="1"/>
  <c r="I176" i="16" l="1"/>
  <c r="J179" i="16" s="1"/>
  <c r="D182" i="16" l="1"/>
  <c r="I181" i="16"/>
  <c r="J182" i="16" s="1"/>
  <c r="J389" i="16" l="1"/>
  <c r="D13" i="13" l="1"/>
  <c r="K13" i="13" s="1"/>
  <c r="R13" i="13" l="1"/>
  <c r="K22" i="13"/>
  <c r="G13" i="13"/>
  <c r="D22" i="13"/>
  <c r="L13" i="13" l="1"/>
  <c r="G22" i="13"/>
  <c r="H13" i="13"/>
  <c r="H22" i="13" s="1"/>
  <c r="K34" i="13"/>
  <c r="L34" i="13" s="1"/>
  <c r="S34" i="13" s="1"/>
  <c r="S44" i="13" s="1"/>
  <c r="R22" i="13"/>
  <c r="M34" i="13" l="1"/>
  <c r="N34" i="13" s="1"/>
  <c r="U34" i="13" s="1"/>
  <c r="L44" i="13"/>
  <c r="L22" i="13"/>
  <c r="S13" i="13"/>
  <c r="R34" i="13"/>
  <c r="R44" i="13" s="1"/>
  <c r="K44" i="13"/>
  <c r="M44" i="13" l="1"/>
  <c r="O34" i="13"/>
  <c r="T34" i="13"/>
  <c r="T44" i="13" s="1"/>
  <c r="N42" i="13"/>
  <c r="O42" i="13" s="1"/>
  <c r="V42" i="13" s="1"/>
  <c r="T13" i="13"/>
  <c r="T22" i="13" s="1"/>
  <c r="S22" i="13"/>
  <c r="V34" i="13"/>
  <c r="U42" i="13" l="1"/>
  <c r="U44" i="13" s="1"/>
  <c r="N44" i="13"/>
  <c r="U13" i="13"/>
  <c r="O44" i="13"/>
  <c r="V44" i="13"/>
  <c r="V13" i="13" l="1"/>
  <c r="U21" i="13"/>
  <c r="V21" i="13" s="1"/>
  <c r="U22" i="13" l="1"/>
  <c r="V22" i="13"/>
  <c r="U24" i="13" s="1"/>
  <c r="M88" i="7" l="1"/>
  <c r="D273" i="16" s="1"/>
  <c r="I273" i="16" s="1"/>
  <c r="P10" i="3"/>
  <c r="E17" i="3" s="1"/>
  <c r="W3" i="3" l="1"/>
  <c r="M118" i="7"/>
  <c r="D293" i="16" s="1"/>
  <c r="M115" i="4"/>
  <c r="D178" i="16" s="1"/>
  <c r="I178" i="16" s="1"/>
  <c r="M111" i="4"/>
  <c r="M144" i="7"/>
  <c r="M127" i="7"/>
  <c r="M121" i="7"/>
  <c r="D295" i="16" s="1"/>
  <c r="I295" i="16" s="1"/>
  <c r="M119" i="7"/>
  <c r="D294" i="16" s="1"/>
  <c r="I294" i="16" s="1"/>
  <c r="M122" i="7"/>
  <c r="D296" i="16" s="1"/>
  <c r="I296" i="16" s="1"/>
  <c r="M123" i="7"/>
  <c r="M114" i="4"/>
  <c r="D177" i="16" s="1"/>
  <c r="I177" i="16" s="1"/>
  <c r="M128" i="7" l="1"/>
  <c r="D300" i="16"/>
  <c r="M103" i="7"/>
  <c r="D175" i="16"/>
  <c r="I175" i="16" s="1"/>
  <c r="M110" i="4"/>
  <c r="I293" i="16"/>
  <c r="J298" i="16" s="1"/>
  <c r="D174" i="16" l="1"/>
  <c r="M116" i="4"/>
  <c r="M128" i="4" s="1"/>
  <c r="M130" i="4" s="1"/>
  <c r="I300" i="16"/>
  <c r="J301" i="16" s="1"/>
  <c r="D301" i="16"/>
  <c r="N123" i="7"/>
  <c r="D278" i="16"/>
  <c r="I278" i="16" s="1"/>
  <c r="M125" i="7" l="1"/>
  <c r="D297" i="16"/>
  <c r="D179" i="16"/>
  <c r="D192" i="16" s="1"/>
  <c r="I174" i="16"/>
  <c r="I297" i="16" l="1"/>
  <c r="D298" i="16"/>
  <c r="E3" i="10"/>
  <c r="G14" i="1"/>
  <c r="G47" i="1"/>
  <c r="D266" i="16"/>
  <c r="I266" i="16"/>
  <c r="D271" i="16"/>
  <c r="I271" i="16"/>
  <c r="D274" i="16"/>
  <c r="J274" i="16"/>
  <c r="D276" i="16"/>
  <c r="I276" i="16"/>
  <c r="D277" i="16"/>
  <c r="I277" i="16"/>
  <c r="D279" i="16"/>
  <c r="I279" i="16"/>
  <c r="D280" i="16"/>
  <c r="I280" i="16"/>
  <c r="D281" i="16"/>
  <c r="J281" i="16"/>
  <c r="D283" i="16"/>
  <c r="I283" i="16"/>
  <c r="D284" i="16"/>
  <c r="I284" i="16"/>
  <c r="D285" i="16"/>
  <c r="J285" i="16"/>
  <c r="D303" i="16"/>
  <c r="I303" i="16"/>
  <c r="D304" i="16"/>
  <c r="I304" i="16"/>
  <c r="D305" i="16"/>
  <c r="I305" i="16"/>
  <c r="D306" i="16"/>
  <c r="I306" i="16"/>
  <c r="D307" i="16"/>
  <c r="I307" i="16"/>
  <c r="D308" i="16"/>
  <c r="I308" i="16"/>
  <c r="D310" i="16"/>
  <c r="J310" i="16"/>
  <c r="D316" i="16"/>
  <c r="I316" i="16"/>
  <c r="D317" i="16"/>
  <c r="J317" i="16"/>
  <c r="D326" i="16"/>
  <c r="I326" i="16"/>
  <c r="D327" i="16"/>
  <c r="J327" i="16"/>
  <c r="D334" i="16"/>
  <c r="D363" i="16"/>
  <c r="I363" i="16"/>
  <c r="J363" i="16"/>
  <c r="D364" i="16"/>
  <c r="J364" i="16"/>
  <c r="D366" i="16"/>
  <c r="I366" i="16"/>
  <c r="D367" i="16"/>
  <c r="I367" i="16"/>
  <c r="D368" i="16"/>
  <c r="J368" i="16"/>
  <c r="D373" i="16"/>
  <c r="I373" i="16"/>
  <c r="D374" i="16"/>
  <c r="I374" i="16"/>
  <c r="D375" i="16"/>
  <c r="I375" i="16"/>
  <c r="D376" i="16"/>
  <c r="J376" i="16"/>
  <c r="D388" i="16"/>
  <c r="D389" i="16"/>
  <c r="E389" i="16"/>
  <c r="G9" i="2"/>
  <c r="G26" i="2"/>
  <c r="M46" i="7"/>
  <c r="M48" i="7"/>
  <c r="M49" i="7"/>
  <c r="M50" i="7"/>
  <c r="N52" i="7"/>
  <c r="M53" i="7"/>
  <c r="M57" i="7"/>
  <c r="M58" i="7"/>
  <c r="M59" i="7"/>
  <c r="M75" i="7"/>
  <c r="M79" i="7"/>
  <c r="N79" i="7"/>
  <c r="M85" i="7"/>
  <c r="M90" i="7"/>
  <c r="M92" i="7"/>
  <c r="N92" i="7"/>
  <c r="M95" i="7"/>
  <c r="M97" i="7"/>
  <c r="M99" i="7"/>
  <c r="M101" i="7"/>
  <c r="N101" i="7"/>
  <c r="M102" i="7"/>
  <c r="M104" i="7"/>
  <c r="M105" i="7"/>
  <c r="M106" i="7"/>
  <c r="M108" i="7"/>
  <c r="N108" i="7"/>
  <c r="M109" i="7"/>
  <c r="M110" i="7"/>
  <c r="M130" i="7"/>
  <c r="N130" i="7"/>
  <c r="M131" i="7"/>
  <c r="M132" i="7"/>
  <c r="M133" i="7"/>
  <c r="M134" i="7"/>
  <c r="M135" i="7"/>
  <c r="M137" i="7"/>
  <c r="M145" i="7"/>
  <c r="M148" i="7"/>
  <c r="M149" i="7"/>
  <c r="M158" i="7"/>
  <c r="M166" i="7"/>
  <c r="E3" i="3"/>
  <c r="F56" i="3"/>
</calcChain>
</file>

<file path=xl/comments1.xml><?xml version="1.0" encoding="utf-8"?>
<comments xmlns="http://schemas.openxmlformats.org/spreadsheetml/2006/main">
  <authors>
    <author>Keith Longie</author>
    <author>Longstaff, John (IHS/HQ)</author>
    <author>jlongsta</author>
    <author>Elvin Willie</author>
    <author>Dfeather</author>
    <author>Edward A. Cayous</author>
    <author>Cliff Wiggins</author>
    <author>EMPLOYEES OF IHS</author>
    <author>John Longstaff</author>
  </authors>
  <commentList>
    <comment ref="C11" authorId="0" shapeId="0">
      <text>
        <r>
          <rPr>
            <b/>
            <sz val="12"/>
            <color indexed="81"/>
            <rFont val="Tahoma"/>
            <family val="2"/>
          </rPr>
          <t xml:space="preserve">Service Unit Code:
</t>
        </r>
        <r>
          <rPr>
            <sz val="12"/>
            <color indexed="81"/>
            <rFont val="Tahoma"/>
            <family val="2"/>
          </rPr>
          <t xml:space="preserve">Per the Standard Code Book.
</t>
        </r>
      </text>
    </comment>
    <comment ref="C12" authorId="0" shapeId="0">
      <text>
        <r>
          <rPr>
            <b/>
            <sz val="12"/>
            <color indexed="81"/>
            <rFont val="Tahoma"/>
            <family val="2"/>
          </rPr>
          <t>Facility Code:</t>
        </r>
        <r>
          <rPr>
            <sz val="12"/>
            <color indexed="81"/>
            <rFont val="Tahoma"/>
            <family val="2"/>
          </rPr>
          <t xml:space="preserve">
Per the Standard Code Book.</t>
        </r>
      </text>
    </comment>
    <comment ref="C13" authorId="1" shapeId="0">
      <text>
        <r>
          <rPr>
            <b/>
            <sz val="12"/>
            <color indexed="81"/>
            <rFont val="Tahoma"/>
            <family val="2"/>
          </rPr>
          <t>Type of Facility:</t>
        </r>
        <r>
          <rPr>
            <sz val="12"/>
            <color indexed="81"/>
            <rFont val="Tahoma"/>
            <family val="2"/>
          </rPr>
          <t xml:space="preserve"> To qualify as a Health Center, the facility must be open at least five days per week with a minimum workload of 4,400 Primary Care Provider Visits (PCPV). The RRM program is not suited for Medical Centers, however, it may be used on a limited basis.</t>
        </r>
      </text>
    </comment>
    <comment ref="C14" authorId="2" shapeId="0">
      <text>
        <r>
          <rPr>
            <b/>
            <sz val="12"/>
            <color indexed="81"/>
            <rFont val="Tahoma"/>
            <family val="2"/>
          </rPr>
          <t>Estimate Year:</t>
        </r>
        <r>
          <rPr>
            <sz val="12"/>
            <color indexed="81"/>
            <rFont val="Tahoma"/>
            <family val="2"/>
          </rPr>
          <t xml:space="preserve">
Select the year you are projecting the salary budget for.</t>
        </r>
      </text>
    </comment>
    <comment ref="C15" authorId="3" shapeId="0">
      <text>
        <r>
          <rPr>
            <b/>
            <sz val="12"/>
            <color indexed="81"/>
            <rFont val="Tahoma"/>
            <family val="2"/>
          </rPr>
          <t xml:space="preserve">Facility Space Estimates:
</t>
        </r>
        <r>
          <rPr>
            <sz val="12"/>
            <color indexed="81"/>
            <rFont val="Tahoma"/>
            <family val="2"/>
          </rPr>
          <t xml:space="preserve">The following section (Lines 7 thru 14) should be completed </t>
        </r>
        <r>
          <rPr>
            <b/>
            <sz val="12"/>
            <color indexed="81"/>
            <rFont val="Tahoma"/>
            <family val="2"/>
          </rPr>
          <t xml:space="preserve">AFTER </t>
        </r>
        <r>
          <rPr>
            <sz val="12"/>
            <color indexed="81"/>
            <rFont val="Tahoma"/>
            <family val="2"/>
          </rPr>
          <t xml:space="preserve">the staffing information has been entered into  Health Sytems Planning (HSP) program. </t>
        </r>
      </text>
    </comment>
    <comment ref="C16" authorId="0" shapeId="0">
      <text>
        <r>
          <rPr>
            <b/>
            <sz val="12"/>
            <color indexed="81"/>
            <rFont val="Tahoma"/>
            <family val="2"/>
          </rPr>
          <t>HSP Building Summary Space:</t>
        </r>
        <r>
          <rPr>
            <sz val="12"/>
            <color indexed="81"/>
            <rFont val="Tahoma"/>
            <family val="2"/>
          </rPr>
          <t xml:space="preserve"> Use the </t>
        </r>
        <r>
          <rPr>
            <b/>
            <sz val="12"/>
            <color indexed="81"/>
            <rFont val="Tahoma"/>
            <family val="2"/>
          </rPr>
          <t>POR/Building Area Summary</t>
        </r>
        <r>
          <rPr>
            <sz val="12"/>
            <color indexed="81"/>
            <rFont val="Tahoma"/>
            <family val="2"/>
          </rPr>
          <t xml:space="preserve"> report for the total Gross Square Meters from HSP.
</t>
        </r>
      </text>
    </comment>
    <comment ref="C17" authorId="0" shapeId="0">
      <text>
        <r>
          <rPr>
            <b/>
            <sz val="12"/>
            <color indexed="81"/>
            <rFont val="Tahoma"/>
            <family val="2"/>
          </rPr>
          <t xml:space="preserve">Number of Quarters: </t>
        </r>
        <r>
          <rPr>
            <sz val="12"/>
            <color indexed="81"/>
            <rFont val="Tahoma"/>
            <family val="2"/>
          </rPr>
          <t xml:space="preserve">This is an estimate.  This drives Maintenance staff.
</t>
        </r>
        <r>
          <rPr>
            <sz val="7"/>
            <color indexed="81"/>
            <rFont val="Tahoma"/>
            <family val="2"/>
          </rPr>
          <t xml:space="preserve">
</t>
        </r>
      </text>
    </comment>
    <comment ref="C18" authorId="2" shapeId="0">
      <text>
        <r>
          <rPr>
            <b/>
            <sz val="12"/>
            <color indexed="81"/>
            <rFont val="Tahoma"/>
            <family val="2"/>
          </rPr>
          <t xml:space="preserve">Quarters Space:  </t>
        </r>
        <r>
          <rPr>
            <sz val="12"/>
            <color indexed="81"/>
            <rFont val="Tahoma"/>
            <family val="2"/>
          </rPr>
          <t>Automatically calculated unless overridden</t>
        </r>
        <r>
          <rPr>
            <b/>
            <sz val="12"/>
            <color indexed="81"/>
            <rFont val="Tahoma"/>
            <family val="2"/>
          </rPr>
          <t>.</t>
        </r>
        <r>
          <rPr>
            <sz val="10"/>
            <color indexed="81"/>
            <rFont val="Tahoma"/>
            <family val="2"/>
          </rPr>
          <t xml:space="preserve">
</t>
        </r>
      </text>
    </comment>
    <comment ref="C20" authorId="2" shapeId="0">
      <text>
        <r>
          <rPr>
            <b/>
            <sz val="12"/>
            <color indexed="81"/>
            <rFont val="Tahoma"/>
            <family val="2"/>
          </rPr>
          <t xml:space="preserve">Parking Spaces:  </t>
        </r>
        <r>
          <rPr>
            <sz val="12"/>
            <color indexed="81"/>
            <rFont val="Tahoma"/>
            <family val="2"/>
          </rPr>
          <t>Get from Parking Summary in HSP.</t>
        </r>
        <r>
          <rPr>
            <sz val="10"/>
            <color indexed="81"/>
            <rFont val="Tahoma"/>
            <family val="2"/>
          </rPr>
          <t xml:space="preserve">
</t>
        </r>
      </text>
    </comment>
    <comment ref="C22" authorId="0" shapeId="0">
      <text>
        <r>
          <rPr>
            <b/>
            <sz val="12"/>
            <color indexed="81"/>
            <rFont val="Tahoma"/>
            <family val="2"/>
          </rPr>
          <t xml:space="preserve">Calculated Area: </t>
        </r>
        <r>
          <rPr>
            <sz val="12"/>
            <color indexed="81"/>
            <rFont val="Tahoma"/>
            <family val="2"/>
          </rPr>
          <t xml:space="preserve">This is the land area required for the Health Care Facility using the table contained in the OEH Technical Handbook, Site Selection.  This also includes land area required for staff quarters plus 5% for staff quarters recreational facilities.  You can override the calculated area, however, the change must be justified.  Count only the land area that is maintained, not the total campus area.
</t>
        </r>
      </text>
    </comment>
    <comment ref="C23" authorId="4" shapeId="0">
      <text>
        <r>
          <rPr>
            <sz val="12"/>
            <color indexed="81"/>
            <rFont val="Tahoma"/>
            <family val="2"/>
          </rPr>
          <t xml:space="preserve">To obtain the active users number go to HSP, you will then need to </t>
        </r>
        <r>
          <rPr>
            <b/>
            <sz val="12"/>
            <color indexed="81"/>
            <rFont val="Tahoma"/>
            <family val="2"/>
          </rPr>
          <t>select the following</t>
        </r>
        <r>
          <rPr>
            <sz val="12"/>
            <color indexed="81"/>
            <rFont val="Tahoma"/>
            <family val="2"/>
          </rPr>
          <t xml:space="preserve">: a project,  the report screen,  PJD button,  list reports,  discipline summary,  tag whichever module you are requesting information (for inpatient select accute  care and for ambulatory care use primary care),  run report and then print.
</t>
        </r>
        <r>
          <rPr>
            <b/>
            <sz val="12"/>
            <color indexed="81"/>
            <rFont val="Tahoma"/>
            <family val="2"/>
          </rPr>
          <t>Public Health Nursing may use census-based population or active user population, whichever is greater</t>
        </r>
        <r>
          <rPr>
            <sz val="12"/>
            <color indexed="81"/>
            <rFont val="Tahoma"/>
            <family val="2"/>
          </rPr>
          <t xml:space="preserve">.
</t>
        </r>
        <r>
          <rPr>
            <sz val="12"/>
            <color indexed="10"/>
            <rFont val="Tahoma"/>
            <family val="2"/>
          </rPr>
          <t>Only enter populations for which Services are being provided.</t>
        </r>
      </text>
    </comment>
    <comment ref="C24" authorId="5" shapeId="0">
      <text>
        <r>
          <rPr>
            <sz val="8"/>
            <color indexed="81"/>
            <rFont val="Tahoma"/>
            <family val="2"/>
          </rPr>
          <t xml:space="preserve">Only enter a user population if the facility is providing inpatient services.
</t>
        </r>
      </text>
    </comment>
    <comment ref="C32" authorId="3" shapeId="0">
      <text>
        <r>
          <rPr>
            <b/>
            <sz val="10"/>
            <color indexed="81"/>
            <rFont val="Tahoma"/>
            <family val="2"/>
          </rPr>
          <t xml:space="preserve">PHN Service Population:
</t>
        </r>
        <r>
          <rPr>
            <sz val="10"/>
            <color indexed="81"/>
            <rFont val="Tahoma"/>
            <family val="2"/>
          </rPr>
          <t>Insert Census-based Population in left cell. Active User Population will be in the right cell.  RRM will use whichever is greater.</t>
        </r>
      </text>
    </comment>
    <comment ref="C33" authorId="5" shapeId="0">
      <text>
        <r>
          <rPr>
            <sz val="10"/>
            <color indexed="81"/>
            <rFont val="Tahoma"/>
            <family val="2"/>
          </rPr>
          <t>Enter Population Served by EMS.</t>
        </r>
      </text>
    </comment>
    <comment ref="C36" authorId="5" shapeId="0">
      <text>
        <r>
          <rPr>
            <b/>
            <sz val="11"/>
            <color indexed="81"/>
            <rFont val="Tahoma"/>
            <family val="2"/>
          </rPr>
          <t>If an EMS Department is authorized using separate "EMS Module" answer "yes" to generate 0.2 FTE for EMS Director. 
A new program for EMS must be justified and approved.</t>
        </r>
      </text>
    </comment>
    <comment ref="C37" authorId="6" shapeId="0">
      <text>
        <r>
          <rPr>
            <sz val="10"/>
            <color indexed="81"/>
            <rFont val="Tahoma"/>
            <family val="2"/>
          </rPr>
          <t xml:space="preserve">This percentage refers to that part of </t>
        </r>
        <r>
          <rPr>
            <b/>
            <sz val="10"/>
            <color indexed="10"/>
            <rFont val="Tahoma"/>
            <family val="2"/>
          </rPr>
          <t>ALL</t>
        </r>
        <r>
          <rPr>
            <sz val="10"/>
            <color indexed="81"/>
            <rFont val="Tahoma"/>
            <family val="2"/>
          </rPr>
          <t xml:space="preserve"> EMS workload that is (or should be) paid for by CHS.</t>
        </r>
      </text>
    </comment>
    <comment ref="C40" authorId="7" shapeId="0">
      <text>
        <r>
          <rPr>
            <b/>
            <sz val="12"/>
            <color indexed="81"/>
            <rFont val="Tahoma"/>
            <family val="2"/>
          </rPr>
          <t>Patron Rations:</t>
        </r>
        <r>
          <rPr>
            <sz val="12"/>
            <color indexed="81"/>
            <rFont val="Tahoma"/>
            <family val="2"/>
          </rPr>
          <t xml:space="preserve"> Enter YES if the food services department prepares meals for staff and visitors.</t>
        </r>
        <r>
          <rPr>
            <sz val="9"/>
            <color indexed="81"/>
            <rFont val="Geneva"/>
          </rPr>
          <t xml:space="preserve">
</t>
        </r>
      </text>
    </comment>
    <comment ref="D42" authorId="1" shapeId="0">
      <text>
        <r>
          <rPr>
            <b/>
            <sz val="9"/>
            <color indexed="81"/>
            <rFont val="Tahoma"/>
            <family val="2"/>
          </rPr>
          <t>Check this box if there is at least one satellite clinc served within the service area.</t>
        </r>
      </text>
    </comment>
    <comment ref="F45" authorId="8" shapeId="0">
      <text>
        <r>
          <rPr>
            <b/>
            <sz val="8"/>
            <color indexed="81"/>
            <rFont val="Tahoma"/>
            <family val="2"/>
          </rPr>
          <t>Check this box if there is at least one satellite clinc served within the service area.</t>
        </r>
        <r>
          <rPr>
            <sz val="8"/>
            <color indexed="81"/>
            <rFont val="Tahoma"/>
            <family val="2"/>
          </rPr>
          <t xml:space="preserve">
</t>
        </r>
      </text>
    </comment>
    <comment ref="C46" authorId="7" shapeId="0">
      <text>
        <r>
          <rPr>
            <b/>
            <sz val="12"/>
            <color indexed="81"/>
            <rFont val="Tahoma"/>
            <family val="2"/>
          </rPr>
          <t>Wellness Center:</t>
        </r>
        <r>
          <rPr>
            <sz val="12"/>
            <color indexed="81"/>
            <rFont val="Tahoma"/>
            <family val="2"/>
          </rPr>
          <t xml:space="preserve"> Enter hours of operation weekly.</t>
        </r>
        <r>
          <rPr>
            <sz val="9"/>
            <color indexed="81"/>
            <rFont val="Geneva"/>
          </rPr>
          <t xml:space="preserve">
</t>
        </r>
      </text>
    </comment>
  </commentList>
</comments>
</file>

<file path=xl/comments2.xml><?xml version="1.0" encoding="utf-8"?>
<comments xmlns="http://schemas.openxmlformats.org/spreadsheetml/2006/main">
  <authors>
    <author>Instructor</author>
    <author>IHS User</author>
    <author>jlongsta</author>
    <author>Dfeather</author>
    <author>A satisfied Microsoft Office user</author>
    <author>Longstaff, John (IHS/HQ)</author>
    <author>employees of ihs</author>
    <author>S.M. Satpathi</author>
    <author>EMPLOYEES OF IHS</author>
    <author>asusan</author>
  </authors>
  <commentList>
    <comment ref="C9" authorId="0" shapeId="0">
      <text>
        <r>
          <rPr>
            <b/>
            <sz val="12"/>
            <color indexed="81"/>
            <rFont val="Tahoma"/>
            <family val="2"/>
          </rPr>
          <t xml:space="preserve">Data Source:  </t>
        </r>
        <r>
          <rPr>
            <sz val="12"/>
            <color indexed="81"/>
            <rFont val="Tahoma"/>
            <family val="2"/>
          </rPr>
          <t xml:space="preserve">Use HSP Workload Summary - Primary Care Visits.  Do not include the visits contracted out.
</t>
        </r>
      </text>
    </comment>
    <comment ref="C10" authorId="1" shapeId="0">
      <text>
        <r>
          <rPr>
            <b/>
            <sz val="12"/>
            <color indexed="81"/>
            <rFont val="Tahoma"/>
            <family val="2"/>
          </rPr>
          <t>IHS User:</t>
        </r>
        <r>
          <rPr>
            <sz val="12"/>
            <color indexed="81"/>
            <rFont val="Tahoma"/>
            <family val="2"/>
          </rPr>
          <t xml:space="preserve">
Add inpatient and outpatient physical therapy workload from HSP.</t>
        </r>
      </text>
    </comment>
    <comment ref="C13" authorId="2" shapeId="0">
      <text>
        <r>
          <rPr>
            <b/>
            <sz val="12"/>
            <color indexed="81"/>
            <rFont val="Tahoma"/>
            <family val="2"/>
          </rPr>
          <t xml:space="preserve">IHS User:
</t>
        </r>
        <r>
          <rPr>
            <sz val="12"/>
            <color indexed="81"/>
            <rFont val="Tahoma"/>
            <family val="2"/>
          </rPr>
          <t>Add Specialst workload from HSP.</t>
        </r>
      </text>
    </comment>
    <comment ref="C14" authorId="3" shapeId="0">
      <text>
        <r>
          <rPr>
            <b/>
            <sz val="12"/>
            <color indexed="81"/>
            <rFont val="Tahoma"/>
            <family val="2"/>
          </rPr>
          <t>Enter community health practitioner visits to all Alaska villages within the Service Unit.</t>
        </r>
      </text>
    </comment>
    <comment ref="C15" authorId="3" shapeId="0">
      <text>
        <r>
          <rPr>
            <b/>
            <sz val="12"/>
            <color indexed="81"/>
            <rFont val="Tahoma"/>
            <family val="2"/>
          </rPr>
          <t xml:space="preserve">Data Source:  </t>
        </r>
        <r>
          <rPr>
            <sz val="12"/>
            <color indexed="81"/>
            <rFont val="Tahoma"/>
            <family val="2"/>
          </rPr>
          <t>Use HSP Workload Summary - Podiatry Visits.  Do not include the visits contracted out.</t>
        </r>
      </text>
    </comment>
    <comment ref="C17" authorId="4" shapeId="0">
      <text>
        <r>
          <rPr>
            <b/>
            <sz val="12"/>
            <color indexed="81"/>
            <rFont val="Tahoma"/>
            <family val="2"/>
          </rPr>
          <t>OPVs</t>
        </r>
        <r>
          <rPr>
            <sz val="12"/>
            <color indexed="81"/>
            <rFont val="Tahoma"/>
            <family val="2"/>
          </rPr>
          <t>: If left blank, a RRM-calculated OPV figure will be given based on IHS average rates for Hospitals and Health Centers. PCPV's are multiplied by the OPV hopsital factor (1.501) or OPV clinic factor (1.997) to calculate estimated OPV's. The statistician should be able to provide a report with OPV's which you would compare to RRM generated number.  You should use the highest number approved by HQ program statistics.</t>
        </r>
        <r>
          <rPr>
            <sz val="8"/>
            <color indexed="81"/>
            <rFont val="Tahoma"/>
            <family val="2"/>
          </rPr>
          <t xml:space="preserve">
</t>
        </r>
      </text>
    </comment>
    <comment ref="C20" authorId="4" shapeId="0">
      <text>
        <r>
          <rPr>
            <b/>
            <sz val="12"/>
            <color indexed="81"/>
            <rFont val="Tahoma"/>
            <family val="2"/>
          </rPr>
          <t>Prescriptions Per Day</t>
        </r>
        <r>
          <rPr>
            <sz val="12"/>
            <color indexed="81"/>
            <rFont val="Tahoma"/>
            <family val="2"/>
          </rPr>
          <t>: If left blank, a RRM-calculated figure will be given based on IHS average rates for Hospitals and Health Centers. PCPVs are multiplied by the average Prescriptions per day (9) to calculate estimated prescriptions per day. The statistician should be able to provide a report with OPV's which you would compare to RRM generated number.  You should use the highest number approved by HQ program statistics.</t>
        </r>
        <r>
          <rPr>
            <sz val="8"/>
            <color indexed="81"/>
            <rFont val="Tahoma"/>
            <family val="2"/>
          </rPr>
          <t xml:space="preserve">
</t>
        </r>
      </text>
    </comment>
    <comment ref="C21" authorId="5" shapeId="0">
      <text>
        <r>
          <rPr>
            <b/>
            <sz val="12"/>
            <color indexed="81"/>
            <rFont val="Tahoma"/>
            <family val="2"/>
          </rPr>
          <t>Extended Pharmacy Hours:</t>
        </r>
        <r>
          <rPr>
            <sz val="12"/>
            <color indexed="81"/>
            <rFont val="Tahoma"/>
            <family val="2"/>
          </rPr>
          <t xml:space="preserve"> If the center has extended hours, enter number.</t>
        </r>
      </text>
    </comment>
    <comment ref="C22" authorId="5" shapeId="0">
      <text>
        <r>
          <rPr>
            <b/>
            <sz val="12"/>
            <color indexed="81"/>
            <rFont val="Tahoma"/>
            <family val="2"/>
          </rPr>
          <t>Pharmacy-Driven Clinic Visits:</t>
        </r>
        <r>
          <rPr>
            <sz val="12"/>
            <color indexed="81"/>
            <rFont val="Tahoma"/>
            <family val="2"/>
          </rPr>
          <t xml:space="preserve"> Enter number of visits per day.</t>
        </r>
        <r>
          <rPr>
            <sz val="9"/>
            <color indexed="81"/>
            <rFont val="Tahoma"/>
            <family val="2"/>
          </rPr>
          <t xml:space="preserve">
</t>
        </r>
      </text>
    </comment>
    <comment ref="C23" authorId="5" shapeId="0">
      <text>
        <r>
          <rPr>
            <b/>
            <sz val="12"/>
            <color indexed="81"/>
            <rFont val="Tahoma"/>
            <family val="2"/>
          </rPr>
          <t xml:space="preserve">Point-of-Sale Electronic Claims: </t>
        </r>
        <r>
          <rPr>
            <sz val="12"/>
            <color indexed="81"/>
            <rFont val="Tahoma"/>
            <family val="2"/>
          </rPr>
          <t>Enter number of claims.</t>
        </r>
        <r>
          <rPr>
            <sz val="9"/>
            <color indexed="81"/>
            <rFont val="Tahoma"/>
            <family val="2"/>
          </rPr>
          <t xml:space="preserve">
</t>
        </r>
      </text>
    </comment>
    <comment ref="C31" authorId="6" shapeId="0">
      <text>
        <r>
          <rPr>
            <b/>
            <sz val="12"/>
            <color indexed="81"/>
            <rFont val="Geneva"/>
          </rPr>
          <t xml:space="preserve">Outpatient Surgery: </t>
        </r>
        <r>
          <rPr>
            <sz val="12"/>
            <color indexed="81"/>
            <rFont val="Geneva"/>
          </rPr>
          <t>This input is for larger hospitals only!  Comes from HSP Workload Summary Report - Surgery/Outpatient Episodes for the 10 year projection.</t>
        </r>
        <r>
          <rPr>
            <sz val="9"/>
            <color indexed="81"/>
            <rFont val="Geneva"/>
          </rPr>
          <t xml:space="preserve">
</t>
        </r>
      </text>
    </comment>
    <comment ref="C34" authorId="7" shapeId="0">
      <text>
        <r>
          <rPr>
            <b/>
            <sz val="12"/>
            <color indexed="81"/>
            <rFont val="Tahoma"/>
            <family val="2"/>
          </rPr>
          <t>Satellite Facilities:</t>
        </r>
        <r>
          <rPr>
            <sz val="12"/>
            <color indexed="81"/>
            <rFont val="Tahoma"/>
            <family val="2"/>
          </rPr>
          <t xml:space="preserve">
State the Number of Satellite Facilities Supported by this Facility.</t>
        </r>
      </text>
    </comment>
    <comment ref="C35" authorId="4" shapeId="0">
      <text>
        <r>
          <rPr>
            <b/>
            <sz val="12"/>
            <color indexed="81"/>
            <rFont val="Tahoma"/>
            <family val="2"/>
          </rPr>
          <t>Satellite OPVs:</t>
        </r>
        <r>
          <rPr>
            <sz val="12"/>
            <color indexed="81"/>
            <rFont val="Tahoma"/>
            <family val="2"/>
          </rPr>
          <t xml:space="preserve"> Input the Total Number of Outpatient Visits Supported by all Satellite Facilities.  
</t>
        </r>
      </text>
    </comment>
    <comment ref="C38" authorId="7" shapeId="0">
      <text>
        <r>
          <rPr>
            <b/>
            <sz val="12"/>
            <color indexed="81"/>
            <rFont val="Tahoma"/>
            <family val="2"/>
          </rPr>
          <t>ED Visits:</t>
        </r>
        <r>
          <rPr>
            <sz val="12"/>
            <color indexed="81"/>
            <rFont val="Tahoma"/>
            <family val="2"/>
          </rPr>
          <t xml:space="preserve">
Use the number generated by the HSP Workload Summary- Emergency for 10 year projection.</t>
        </r>
      </text>
    </comment>
    <comment ref="C39" authorId="4" shapeId="0">
      <text>
        <r>
          <rPr>
            <b/>
            <sz val="12"/>
            <color indexed="81"/>
            <rFont val="Tahoma"/>
            <family val="2"/>
          </rPr>
          <t>ER Level:</t>
        </r>
        <r>
          <rPr>
            <sz val="12"/>
            <color indexed="81"/>
            <rFont val="Tahoma"/>
            <family val="2"/>
          </rPr>
          <t xml:space="preserve"> If HSP generates emergency room (ER) template specify level.  
</t>
        </r>
      </text>
    </comment>
    <comment ref="C41" authorId="3" shapeId="0">
      <text>
        <r>
          <rPr>
            <b/>
            <sz val="12"/>
            <color indexed="81"/>
            <rFont val="Tahoma"/>
            <family val="2"/>
          </rPr>
          <t xml:space="preserve">Nursing: </t>
        </r>
        <r>
          <rPr>
            <sz val="12"/>
            <color indexed="81"/>
            <rFont val="Tahoma"/>
            <family val="2"/>
          </rPr>
          <t xml:space="preserve">The information for this section will come from Director of Nursing.
</t>
        </r>
      </text>
    </comment>
    <comment ref="C42" authorId="4" shapeId="0">
      <text>
        <r>
          <rPr>
            <b/>
            <sz val="12"/>
            <color indexed="81"/>
            <rFont val="Tahoma"/>
            <family val="2"/>
          </rPr>
          <t>Patient Escort:</t>
        </r>
        <r>
          <rPr>
            <sz val="12"/>
            <color indexed="81"/>
            <rFont val="Tahoma"/>
            <family val="2"/>
          </rPr>
          <t xml:space="preserve">  Patient escorts are only for when RNs are required to be present.  Escort trips are normally from the health center/hospital OPD to a higher level care facility.  This does not include patient transport from the home to the health center or hospital OPD. Input the total number of hours per year to do all RN-accompanied trips. 
</t>
        </r>
      </text>
    </comment>
    <comment ref="C44" authorId="3" shapeId="0">
      <text>
        <r>
          <rPr>
            <b/>
            <sz val="12"/>
            <color indexed="81"/>
            <rFont val="Tahoma"/>
            <family val="2"/>
          </rPr>
          <t>Public Health Nursing: The information will come from lead PHN.</t>
        </r>
      </text>
    </comment>
    <comment ref="C46" authorId="4" shapeId="0">
      <text>
        <r>
          <rPr>
            <b/>
            <sz val="12"/>
            <color indexed="81"/>
            <rFont val="Tahoma"/>
            <family val="2"/>
          </rPr>
          <t>Discharge Planning</t>
        </r>
        <r>
          <rPr>
            <sz val="12"/>
            <color indexed="81"/>
            <rFont val="Tahoma"/>
            <family val="2"/>
          </rPr>
          <t xml:space="preserve">: The Calculation for discharge planning will only be used in areas served by free standing health centers, contract hospitals and/or IHS hospitals without discharge planning services.  To prevent duplication, this service will not be estimated where existing discharge planning services are provided.
</t>
        </r>
      </text>
    </comment>
    <comment ref="C47" authorId="4" shapeId="0">
      <text>
        <r>
          <rPr>
            <b/>
            <sz val="12"/>
            <color indexed="81"/>
            <rFont val="Tahoma"/>
            <family val="2"/>
          </rPr>
          <t>PHN Clinics</t>
        </r>
        <r>
          <rPr>
            <sz val="12"/>
            <color indexed="81"/>
            <rFont val="Tahoma"/>
            <family val="2"/>
          </rPr>
          <t>: PHN-managed clinics may include screening, well child, family planning, chronic disease and communicable disease. By inputting 1 hr/week, the RRM planner is stating that 52 hours in a year are committed to specialty clinics.</t>
        </r>
      </text>
    </comment>
    <comment ref="C48" authorId="4" shapeId="0">
      <text>
        <r>
          <rPr>
            <b/>
            <sz val="12"/>
            <color indexed="81"/>
            <rFont val="Tahoma"/>
            <family val="2"/>
          </rPr>
          <t>CHR Supervision</t>
        </r>
        <r>
          <rPr>
            <sz val="12"/>
            <color indexed="81"/>
            <rFont val="Tahoma"/>
            <family val="2"/>
          </rPr>
          <t>: If IHS operated PHN program, usually zero.  If tribally operated, enter the number of CHRs.  This is only used if PHNs are supervising CHRs.</t>
        </r>
      </text>
    </comment>
    <comment ref="C49" authorId="8" shapeId="0">
      <text>
        <r>
          <rPr>
            <b/>
            <sz val="12"/>
            <color indexed="81"/>
            <rFont val="Geneva"/>
          </rPr>
          <t>Justification:</t>
        </r>
        <r>
          <rPr>
            <sz val="12"/>
            <color indexed="81"/>
            <rFont val="Geneva"/>
          </rPr>
          <t xml:space="preserve">  What's required to justify?  Use census reports that have the number of non-English speaking people.</t>
        </r>
        <r>
          <rPr>
            <sz val="9"/>
            <color indexed="81"/>
            <rFont val="Geneva"/>
          </rPr>
          <t xml:space="preserve">
</t>
        </r>
      </text>
    </comment>
    <comment ref="D50" authorId="4" shapeId="0">
      <text>
        <r>
          <rPr>
            <b/>
            <sz val="12"/>
            <color indexed="81"/>
            <rFont val="Tahoma"/>
            <family val="2"/>
          </rPr>
          <t>Per Cent Requiring Interpreter Services</t>
        </r>
        <r>
          <rPr>
            <sz val="12"/>
            <color indexed="81"/>
            <rFont val="Tahoma"/>
            <family val="2"/>
          </rPr>
          <t xml:space="preserve">: The RRM TAC has recommended no more than 5% of the User Population will require Interpreter Services. Percentages higher than 5% will require justification.
</t>
        </r>
      </text>
    </comment>
    <comment ref="C52" authorId="9" shapeId="0">
      <text>
        <r>
          <rPr>
            <b/>
            <sz val="12"/>
            <color indexed="81"/>
            <rFont val="Tahoma"/>
            <family val="2"/>
          </rPr>
          <t xml:space="preserve"># of CHS Purchase Orders: </t>
        </r>
        <r>
          <rPr>
            <sz val="12"/>
            <color indexed="81"/>
            <rFont val="Tahoma"/>
            <family val="2"/>
          </rPr>
          <t>To obtain the number of POs, go to the Area CHS Office obtain number and project to planning year. Denials are estimated to equal the number of purchase orders.</t>
        </r>
        <r>
          <rPr>
            <sz val="8"/>
            <color indexed="81"/>
            <rFont val="Tahoma"/>
            <family val="2"/>
          </rPr>
          <t xml:space="preserve">
</t>
        </r>
      </text>
    </comment>
    <comment ref="C55" authorId="2" shapeId="0">
      <text>
        <r>
          <rPr>
            <b/>
            <sz val="12"/>
            <color indexed="81"/>
            <rFont val="Tahoma"/>
            <family val="2"/>
          </rPr>
          <t xml:space="preserve">Number of OEH&amp;E Staff: </t>
        </r>
        <r>
          <rPr>
            <sz val="12"/>
            <color indexed="81"/>
            <rFont val="Tahoma"/>
            <family val="2"/>
          </rPr>
          <t>See the Area OEH&amp;E department for this number.</t>
        </r>
      </text>
    </comment>
  </commentList>
</comments>
</file>

<file path=xl/comments3.xml><?xml version="1.0" encoding="utf-8"?>
<comments xmlns="http://schemas.openxmlformats.org/spreadsheetml/2006/main">
  <authors>
    <author>EMPLOYEES OF IHS</author>
    <author>Elvin Willie</author>
    <author>A satisfied Microsoft Office user</author>
    <author>employees of ihs</author>
    <author>Dfeather</author>
    <author>Instructor</author>
  </authors>
  <commentList>
    <comment ref="D9" authorId="0" shapeId="0">
      <text>
        <r>
          <rPr>
            <b/>
            <sz val="12"/>
            <color indexed="81"/>
            <rFont val="Arial"/>
            <family val="2"/>
          </rPr>
          <t>On-Site Admissions:</t>
        </r>
        <r>
          <rPr>
            <sz val="12"/>
            <color indexed="81"/>
            <rFont val="Arial"/>
            <family val="2"/>
          </rPr>
          <t xml:space="preserve">  This input drives the number of Patient Registration and Billing Clerk staff.  This cell is an "override" cell, i.e., it'll replace the calculated cell below.  Do not put any information in this cell unless you wish to override the formula in line 1a below.</t>
        </r>
      </text>
    </comment>
    <comment ref="D10" authorId="1" shapeId="0">
      <text>
        <r>
          <rPr>
            <b/>
            <sz val="9"/>
            <color indexed="81"/>
            <rFont val="Geneva"/>
          </rPr>
          <t xml:space="preserve">ADMISSIONS - CALCULATED CELL:  </t>
        </r>
        <r>
          <rPr>
            <sz val="9"/>
            <color indexed="81"/>
            <rFont val="Geneva"/>
          </rPr>
          <t xml:space="preserve">This cell is an automatic calculation based on the days you input below.  The projected HSP days divided by the ALOS will determine projected Admissions.  You may override this formula, however, you will need to document your data source.
The following is added.  The ALOS used is the national IHS average:
Medical Bed Days/ALOS (ALOS = 3.68)
Surgical Bed Days/ALOS (ALOS = 3.73)
Pediatric Days/ALOS (ALOS = 2.01)
Labor &amp; Delivery/Post partum/Antepartum/ALOS (ALOS = 2.73)
OB/GYN/ALOS (ALOS = 3.74)
Intensive Care Days/ALOS (ALOS = 3.94)
</t>
        </r>
      </text>
    </comment>
    <comment ref="D12" authorId="0" shapeId="0">
      <text>
        <r>
          <rPr>
            <b/>
            <sz val="12"/>
            <color indexed="81"/>
            <rFont val="Arial"/>
            <family val="2"/>
          </rPr>
          <t xml:space="preserve">Projected Deliveries: </t>
        </r>
        <r>
          <rPr>
            <sz val="12"/>
            <color indexed="81"/>
            <rFont val="Arial"/>
            <family val="2"/>
          </rPr>
          <t>Input projected births from HSP workload summary sheet.
The number of births for small birthing centers (which are part of a sub-acute care unit) may not show up on the HSP in which case you need to input your own number…but it must be justified.</t>
        </r>
        <r>
          <rPr>
            <sz val="9"/>
            <color indexed="81"/>
            <rFont val="Geneva"/>
          </rPr>
          <t xml:space="preserve">
</t>
        </r>
      </text>
    </comment>
    <comment ref="D13" authorId="2" shapeId="0">
      <text>
        <r>
          <rPr>
            <b/>
            <sz val="12"/>
            <color indexed="81"/>
            <rFont val="Arial"/>
            <family val="2"/>
          </rPr>
          <t xml:space="preserve">General Surgical Cases: </t>
        </r>
        <r>
          <rPr>
            <sz val="12"/>
            <color indexed="81"/>
            <rFont val="Arial"/>
            <family val="2"/>
          </rPr>
          <t>Input the projected surg cases from the HSP Workload Summary Sheet.</t>
        </r>
      </text>
    </comment>
    <comment ref="D14" authorId="3" shapeId="0">
      <text>
        <r>
          <rPr>
            <b/>
            <sz val="12"/>
            <color indexed="81"/>
            <rFont val="Arial"/>
            <family val="2"/>
          </rPr>
          <t>Total Number of Beds:</t>
        </r>
        <r>
          <rPr>
            <sz val="12"/>
            <color indexed="81"/>
            <rFont val="Arial"/>
            <family val="2"/>
          </rPr>
          <t xml:space="preserve">
Input total number of beds in the facility, including ICU/CCU.  Use the number given by HSP.</t>
        </r>
      </text>
    </comment>
    <comment ref="F16" authorId="4" shapeId="0">
      <text>
        <r>
          <rPr>
            <b/>
            <sz val="12"/>
            <color indexed="81"/>
            <rFont val="Tahoma"/>
            <family val="2"/>
          </rPr>
          <t xml:space="preserve">Nursing Stations-Use the HSP template for each service found in lines 10 through 20. The  information below will be used to project central supply staff. </t>
        </r>
        <r>
          <rPr>
            <sz val="8"/>
            <color indexed="81"/>
            <rFont val="Tahoma"/>
            <family val="2"/>
          </rPr>
          <t xml:space="preserve">
</t>
        </r>
      </text>
    </comment>
    <comment ref="I16" authorId="1" shapeId="0">
      <text>
        <r>
          <rPr>
            <b/>
            <sz val="12"/>
            <color indexed="81"/>
            <rFont val="Tahoma"/>
            <family val="2"/>
          </rPr>
          <t xml:space="preserve">Staffed Beds-Override: </t>
        </r>
        <r>
          <rPr>
            <sz val="12"/>
            <color indexed="81"/>
            <rFont val="Tahoma"/>
            <family val="2"/>
          </rPr>
          <t>If there are no validated number of beds, then leave this column blank. Otherwise,
input the number of beds which nursing staff is available rather than the number of constructed beds. In the absence of a validated number, the formula of ADPL + 25% is used as shown in the first column.</t>
        </r>
      </text>
    </comment>
    <comment ref="D17" authorId="0" shapeId="0">
      <text>
        <r>
          <rPr>
            <b/>
            <sz val="12"/>
            <color indexed="81"/>
            <rFont val="Arial"/>
            <family val="2"/>
          </rPr>
          <t xml:space="preserve">General Medicine Days:  </t>
        </r>
        <r>
          <rPr>
            <sz val="12"/>
            <color indexed="81"/>
            <rFont val="Arial"/>
            <family val="2"/>
          </rPr>
          <t xml:space="preserve">Use the Workload Summary Report from HSP.  Input the 10 year projected number for Acute Care/Medical Bed Days located in the Projected Estimated Facility Workload column.  If this column is blank enter zero.  </t>
        </r>
        <r>
          <rPr>
            <sz val="9"/>
            <color indexed="81"/>
            <rFont val="Geneva"/>
          </rPr>
          <t xml:space="preserve">
</t>
        </r>
      </text>
    </comment>
    <comment ref="F17" authorId="4" shapeId="0">
      <text>
        <r>
          <rPr>
            <b/>
            <sz val="12"/>
            <color indexed="81"/>
            <rFont val="Tahoma"/>
            <family val="2"/>
          </rPr>
          <t>General Medicine:</t>
        </r>
        <r>
          <rPr>
            <sz val="12"/>
            <color indexed="81"/>
            <rFont val="Tahoma"/>
            <family val="2"/>
          </rPr>
          <t xml:space="preserve"> Open HSP project, go to discipline information, Select inpatient tab, select acute care tab, select workload approval, select see template results, this will tell you how many work stations are authorized.</t>
        </r>
        <r>
          <rPr>
            <sz val="8"/>
            <color indexed="81"/>
            <rFont val="Tahoma"/>
            <family val="2"/>
          </rPr>
          <t xml:space="preserve">
</t>
        </r>
      </text>
    </comment>
    <comment ref="D18" authorId="5" shapeId="0">
      <text>
        <r>
          <rPr>
            <b/>
            <sz val="12"/>
            <color indexed="81"/>
            <rFont val="Tahoma"/>
            <family val="2"/>
          </rPr>
          <t>OB/GYN:</t>
        </r>
        <r>
          <rPr>
            <sz val="12"/>
            <color indexed="81"/>
            <rFont val="Tahoma"/>
            <family val="2"/>
          </rPr>
          <t xml:space="preserve"> Use the Workload Summary Report from HSP.  Input the 10 year projected number for Labor and Delivery -Antepartum/Postpartum days located in the Projected Estimated Facility Workload column.  If this column is blank enter zero.  </t>
        </r>
        <r>
          <rPr>
            <sz val="8"/>
            <color indexed="81"/>
            <rFont val="Tahoma"/>
            <family val="2"/>
          </rPr>
          <t xml:space="preserve">
</t>
        </r>
      </text>
    </comment>
    <comment ref="F18" authorId="4" shapeId="0">
      <text>
        <r>
          <rPr>
            <b/>
            <sz val="12"/>
            <color indexed="81"/>
            <rFont val="Tahoma"/>
            <family val="2"/>
          </rPr>
          <t>Obstetrics/Gynecology:</t>
        </r>
        <r>
          <rPr>
            <sz val="12"/>
            <color indexed="81"/>
            <rFont val="Tahoma"/>
            <family val="2"/>
          </rPr>
          <t xml:space="preserve">Open HSP project, go to discipline information, Select inpatient tab, select labor and delivery tab, select workload approval, select see template results, this will tell you how many work stations are authorized.
</t>
        </r>
      </text>
    </comment>
    <comment ref="D19" authorId="0" shapeId="0">
      <text>
        <r>
          <rPr>
            <b/>
            <sz val="12"/>
            <color indexed="81"/>
            <rFont val="Arial"/>
            <family val="2"/>
          </rPr>
          <t xml:space="preserve">Surgery Days:  </t>
        </r>
        <r>
          <rPr>
            <sz val="12"/>
            <color indexed="81"/>
            <rFont val="Arial"/>
            <family val="2"/>
          </rPr>
          <t>Use the Workload Summary Report from HSP. Input the 10 year projected number for Acute Care-Surgical Bed days located under the Projected Estimated Facility Workload column.  If the number in this column is blank enter zero.</t>
        </r>
        <r>
          <rPr>
            <b/>
            <sz val="12"/>
            <color indexed="81"/>
            <rFont val="Arial"/>
            <family val="2"/>
          </rPr>
          <t xml:space="preserve">
</t>
        </r>
      </text>
    </comment>
    <comment ref="F19" authorId="4" shapeId="0">
      <text>
        <r>
          <rPr>
            <b/>
            <sz val="12"/>
            <color indexed="81"/>
            <rFont val="Tahoma"/>
            <family val="2"/>
          </rPr>
          <t>Surgery:</t>
        </r>
        <r>
          <rPr>
            <sz val="12"/>
            <color indexed="81"/>
            <rFont val="Tahoma"/>
            <family val="2"/>
          </rPr>
          <t xml:space="preserve"> Open HSP project, go to discipline information, Select ancillary tab, select surgery tab, select workload approval, select see template results, this will tell you how many work stations are authorized.</t>
        </r>
        <r>
          <rPr>
            <sz val="8"/>
            <color indexed="81"/>
            <rFont val="Tahoma"/>
            <family val="2"/>
          </rPr>
          <t xml:space="preserve">
</t>
        </r>
      </text>
    </comment>
    <comment ref="D20" authorId="0" shapeId="0">
      <text>
        <r>
          <rPr>
            <b/>
            <sz val="12"/>
            <color indexed="81"/>
            <rFont val="Arial"/>
            <family val="2"/>
          </rPr>
          <t xml:space="preserve">Pediatric Days:  </t>
        </r>
        <r>
          <rPr>
            <sz val="12"/>
            <color indexed="81"/>
            <rFont val="Arial"/>
            <family val="2"/>
          </rPr>
          <t xml:space="preserve">Use the Workload Summary Report from HSP.  Input the 10 year projected number for Pediatric Bed days located in the Projected Estimated Facility Workload column.  If this column is blank enter zero.  </t>
        </r>
      </text>
    </comment>
    <comment ref="F20" authorId="4" shapeId="0">
      <text>
        <r>
          <rPr>
            <b/>
            <sz val="12"/>
            <color indexed="81"/>
            <rFont val="Tahoma"/>
            <family val="2"/>
          </rPr>
          <t>Pediatrics:The group needs to come up with a decision on where this information will come from (existing facility???)</t>
        </r>
        <r>
          <rPr>
            <sz val="8"/>
            <color indexed="81"/>
            <rFont val="Tahoma"/>
            <family val="2"/>
          </rPr>
          <t xml:space="preserve">
</t>
        </r>
      </text>
    </comment>
    <comment ref="D21" authorId="0" shapeId="0">
      <text>
        <r>
          <rPr>
            <b/>
            <sz val="12"/>
            <color indexed="81"/>
            <rFont val="Arial"/>
            <family val="2"/>
          </rPr>
          <t xml:space="preserve">ICU/CCU Days: </t>
        </r>
        <r>
          <rPr>
            <sz val="12"/>
            <color indexed="81"/>
            <rFont val="Arial"/>
            <family val="2"/>
          </rPr>
          <t xml:space="preserve"> Use the Workload Summary Report from HSP.  Input the 10 year projected number for Intensive Care bed days located in the Projected Estimated Facility Workload column.  If this column is blank enter zero.</t>
        </r>
      </text>
    </comment>
    <comment ref="F21" authorId="4" shapeId="0">
      <text>
        <r>
          <rPr>
            <b/>
            <sz val="12"/>
            <color indexed="81"/>
            <rFont val="Tahoma"/>
            <family val="2"/>
          </rPr>
          <t>ICU/CCU</t>
        </r>
        <r>
          <rPr>
            <sz val="12"/>
            <color indexed="81"/>
            <rFont val="Tahoma"/>
            <family val="2"/>
          </rPr>
          <t xml:space="preserve"> - Open HSP project, go to discipline information, Select inpatient tab, select intensive care tab, select workload approval, select see template results, this will tell you how many work stations are authorized.
</t>
        </r>
        <r>
          <rPr>
            <sz val="8"/>
            <color indexed="81"/>
            <rFont val="Tahoma"/>
            <family val="2"/>
          </rPr>
          <t xml:space="preserve">
</t>
        </r>
      </text>
    </comment>
    <comment ref="D22" authorId="0" shapeId="0">
      <text>
        <r>
          <rPr>
            <b/>
            <sz val="12"/>
            <color indexed="81"/>
            <rFont val="Arial"/>
            <family val="2"/>
          </rPr>
          <t>Psychiatric Days:</t>
        </r>
        <r>
          <rPr>
            <sz val="12"/>
            <color indexed="81"/>
            <rFont val="Arial"/>
            <family val="2"/>
          </rPr>
          <t xml:space="preserve">  Use the Workload Summary Report from HSP. Input the 10 year projected number for Psychiatric Nursing-Psych Bed days located under the Projected Estimated Facility Workload column.  If the number in this column is blank enter zero.
</t>
        </r>
      </text>
    </comment>
    <comment ref="F22" authorId="4" shapeId="0">
      <text>
        <r>
          <rPr>
            <b/>
            <sz val="12"/>
            <color indexed="81"/>
            <rFont val="Tahoma"/>
            <family val="2"/>
          </rPr>
          <t>Psychiatric -</t>
        </r>
        <r>
          <rPr>
            <sz val="12"/>
            <color indexed="81"/>
            <rFont val="Tahoma"/>
            <family val="2"/>
          </rPr>
          <t xml:space="preserve">Open HSP project, go to discipline information, Select inpatient tab, select psychiatric tab, select workload approval, select see template results, this will tell you how many work stations are authorized.
</t>
        </r>
      </text>
    </comment>
    <comment ref="D23" authorId="0" shapeId="0">
      <text>
        <r>
          <rPr>
            <b/>
            <sz val="12"/>
            <color indexed="81"/>
            <rFont val="Arial"/>
            <family val="2"/>
          </rPr>
          <t xml:space="preserve">Ambulatory Care Nurse Stations: </t>
        </r>
        <r>
          <rPr>
            <sz val="12"/>
            <color indexed="81"/>
            <rFont val="Arial"/>
            <family val="2"/>
          </rPr>
          <t xml:space="preserve">  Look at the template(s) in HSP.</t>
        </r>
        <r>
          <rPr>
            <sz val="9"/>
            <color indexed="81"/>
            <rFont val="Geneva"/>
          </rPr>
          <t xml:space="preserve">
</t>
        </r>
      </text>
    </comment>
    <comment ref="F23" authorId="4" shapeId="0">
      <text>
        <r>
          <rPr>
            <b/>
            <sz val="12"/>
            <color indexed="81"/>
            <rFont val="Tahoma"/>
            <family val="2"/>
          </rPr>
          <t>Ambulatory Care-</t>
        </r>
        <r>
          <rPr>
            <sz val="12"/>
            <color indexed="81"/>
            <rFont val="Tahoma"/>
            <family val="2"/>
          </rPr>
          <t xml:space="preserve">Open HSP project, go to discipline information, Select ambulatory tab, select primary care, select workload approval, select see template results, this will tell you how many work stations are authorized.
</t>
        </r>
        <r>
          <rPr>
            <sz val="8"/>
            <color indexed="81"/>
            <rFont val="Tahoma"/>
            <family val="2"/>
          </rPr>
          <t xml:space="preserve">
</t>
        </r>
      </text>
    </comment>
    <comment ref="D24" authorId="0" shapeId="0">
      <text>
        <r>
          <rPr>
            <b/>
            <sz val="9"/>
            <color indexed="81"/>
            <rFont val="Geneva"/>
          </rPr>
          <t xml:space="preserve">Birthing Unit Days:  </t>
        </r>
        <r>
          <rPr>
            <sz val="9"/>
            <color indexed="81"/>
            <rFont val="Geneva"/>
          </rPr>
          <t xml:space="preserve">Use the number given in the HSP…Inpatient Tab 12, Low-Risk Birthing Unit.
</t>
        </r>
      </text>
    </comment>
    <comment ref="F24" authorId="4" shapeId="0">
      <text>
        <r>
          <rPr>
            <b/>
            <sz val="12"/>
            <color indexed="81"/>
            <rFont val="Tahoma"/>
            <family val="2"/>
          </rPr>
          <t>Birthing Units:</t>
        </r>
        <r>
          <rPr>
            <sz val="12"/>
            <color indexed="81"/>
            <rFont val="Tahoma"/>
            <family val="2"/>
          </rPr>
          <t xml:space="preserve"> This is an out of template service, justification will need to be provided on the number of nursing stations requested.
</t>
        </r>
      </text>
    </comment>
  </commentList>
</comments>
</file>

<file path=xl/comments4.xml><?xml version="1.0" encoding="utf-8"?>
<comments xmlns="http://schemas.openxmlformats.org/spreadsheetml/2006/main">
  <authors>
    <author>Cliff Wiggins</author>
  </authors>
  <commentList>
    <comment ref="J4" authorId="0" shapeId="0">
      <text>
        <r>
          <rPr>
            <b/>
            <sz val="8"/>
            <color indexed="81"/>
            <rFont val="Tahoma"/>
            <family val="2"/>
          </rPr>
          <t>These are  ratios that convert the driving variables into EMS FTE and $  The values are based on the original RRMNA EMS model but are slightly adjusted to eliminate minor but unexplained variations in the old ratios.  The RRM committee must approve all revisions to these parameters.</t>
        </r>
        <r>
          <rPr>
            <sz val="8"/>
            <color indexed="81"/>
            <rFont val="Tahoma"/>
            <family val="2"/>
          </rPr>
          <t xml:space="preserve">
</t>
        </r>
      </text>
    </comment>
    <comment ref="J16" authorId="0" shapeId="0">
      <text>
        <r>
          <rPr>
            <sz val="8"/>
            <color indexed="81"/>
            <rFont val="Tahoma"/>
            <family val="2"/>
          </rPr>
          <t>This illustrates the conversion of the old EMS formula  from "relative value" units per population and then into FTE, ie. 1/1000 is the staffing ratio which is a combination of 2 ratios in the old EMS formula. 
1) .4 is the # of relative value (RV) units per 1,000 users for less than 3,250 users in  the original EMS RRMNA model.
2) 2.5 is the # of FTE per RV unit in old RRMNA table
Similar conversions were applied to the other parameters in this table.</t>
        </r>
      </text>
    </comment>
    <comment ref="J17" authorId="0" shapeId="0">
      <text>
        <r>
          <rPr>
            <b/>
            <sz val="8"/>
            <color indexed="81"/>
            <rFont val="Tahoma"/>
            <family val="2"/>
          </rPr>
          <t>Cliff Wiggins:</t>
        </r>
        <r>
          <rPr>
            <sz val="8"/>
            <color indexed="81"/>
            <rFont val="Tahoma"/>
            <family val="2"/>
          </rPr>
          <t xml:space="preserve">
Old RRMNA Value was .25.
Evaluation of results suggest this is too low.  Ric Broderic suggested raising value by 1/3 of difference with small programs.  
New Value = .45</t>
        </r>
      </text>
    </comment>
    <comment ref="K17" authorId="0" shapeId="0">
      <text>
        <r>
          <rPr>
            <b/>
            <sz val="8"/>
            <color indexed="81"/>
            <rFont val="Tahoma"/>
            <family val="2"/>
          </rPr>
          <t>Cliff Wiggins:</t>
        </r>
        <r>
          <rPr>
            <sz val="8"/>
            <color indexed="81"/>
            <rFont val="Tahoma"/>
            <family val="2"/>
          </rPr>
          <t xml:space="preserve">
Original value 2.5</t>
        </r>
      </text>
    </comment>
    <comment ref="K24" authorId="0" shapeId="0">
      <text>
        <r>
          <rPr>
            <b/>
            <sz val="8"/>
            <color indexed="81"/>
            <rFont val="Tahoma"/>
            <family val="2"/>
          </rPr>
          <t>Cliff Wiggins:</t>
        </r>
        <r>
          <rPr>
            <sz val="8"/>
            <color indexed="81"/>
            <rFont val="Tahoma"/>
            <family val="2"/>
          </rPr>
          <t xml:space="preserve">
Original value = 3.5
New value = 2.75</t>
        </r>
      </text>
    </comment>
    <comment ref="J31" authorId="0" shapeId="0">
      <text>
        <r>
          <rPr>
            <b/>
            <sz val="8"/>
            <color indexed="81"/>
            <rFont val="Tahoma"/>
            <family val="2"/>
          </rPr>
          <t>Cliff Wiggins:</t>
        </r>
        <r>
          <rPr>
            <sz val="8"/>
            <color indexed="81"/>
            <rFont val="Tahoma"/>
            <family val="2"/>
          </rPr>
          <t xml:space="preserve">
Old RRMNA Value was 2.25.
Evaluation of results suggest this is too low.  Ric Broderic suggested raising value by 1/3 of difference with small programs.  
New Value = 3.5</t>
        </r>
      </text>
    </comment>
    <comment ref="K31" authorId="0" shapeId="0">
      <text>
        <r>
          <rPr>
            <b/>
            <sz val="8"/>
            <color indexed="81"/>
            <rFont val="Tahoma"/>
            <family val="2"/>
          </rPr>
          <t>Cliff Wiggins:</t>
        </r>
        <r>
          <rPr>
            <sz val="8"/>
            <color indexed="81"/>
            <rFont val="Tahoma"/>
            <family val="2"/>
          </rPr>
          <t xml:space="preserve">
Original value = 4.5
New value =3.5</t>
        </r>
      </text>
    </comment>
  </commentList>
</comments>
</file>

<file path=xl/comments5.xml><?xml version="1.0" encoding="utf-8"?>
<comments xmlns="http://schemas.openxmlformats.org/spreadsheetml/2006/main">
  <authors>
    <author>Cliff Wiggins</author>
  </authors>
  <commentList>
    <comment ref="D3" authorId="0" shapeId="0">
      <text>
        <r>
          <rPr>
            <b/>
            <sz val="8"/>
            <color indexed="81"/>
            <rFont val="Tahoma"/>
            <family val="2"/>
          </rPr>
          <t>Cliff Wiggins:</t>
        </r>
        <r>
          <rPr>
            <sz val="8"/>
            <color indexed="81"/>
            <rFont val="Tahoma"/>
            <family val="2"/>
          </rPr>
          <t xml:space="preserve">
The input data are filtered for consistency.  If local data are not input in column C, default values are used.  If actual workloads are less than the standard 131 runs 1,000, that computation is substituted for actual workload.  Otherwise if higher than the standard, the actual workload is used.</t>
        </r>
      </text>
    </comment>
    <comment ref="T3" authorId="0" shapeId="0">
      <text>
        <r>
          <rPr>
            <b/>
            <sz val="8"/>
            <color indexed="81"/>
            <rFont val="Tahoma"/>
            <family val="2"/>
          </rPr>
          <t>These are  ratios that convert the driving variables into EMS FTE and $  The values are based on the original RRMNA EMS model but are slightly adjusted to eliminate minor but unexplained variations in the old ratios.  The RRM committee must approve all revisions to these parameters.</t>
        </r>
        <r>
          <rPr>
            <sz val="8"/>
            <color indexed="81"/>
            <rFont val="Tahoma"/>
            <family val="2"/>
          </rPr>
          <t xml:space="preserve">
</t>
        </r>
      </text>
    </comment>
    <comment ref="A6" authorId="0" shapeId="0">
      <text>
        <r>
          <rPr>
            <b/>
            <sz val="8"/>
            <color indexed="81"/>
            <rFont val="Tahoma"/>
            <family val="2"/>
          </rPr>
          <t>Cliff Wiggins:</t>
        </r>
        <r>
          <rPr>
            <sz val="8"/>
            <color indexed="81"/>
            <rFont val="Tahoma"/>
            <family val="2"/>
          </rPr>
          <t xml:space="preserve">
This percentage refers to that part of </t>
        </r>
        <r>
          <rPr>
            <b/>
            <sz val="8"/>
            <color indexed="10"/>
            <rFont val="Tahoma"/>
            <family val="2"/>
          </rPr>
          <t>ALL</t>
        </r>
        <r>
          <rPr>
            <sz val="8"/>
            <color indexed="81"/>
            <rFont val="Tahoma"/>
            <family val="2"/>
          </rPr>
          <t xml:space="preserve"> EMS workload that is (or should be) paid for by CHS.</t>
        </r>
      </text>
    </comment>
    <comment ref="P8" authorId="0" shapeId="0">
      <text>
        <r>
          <rPr>
            <b/>
            <sz val="8"/>
            <color indexed="81"/>
            <rFont val="Tahoma"/>
            <family val="2"/>
          </rPr>
          <t>User Population * % Direct</t>
        </r>
      </text>
    </comment>
    <comment ref="Q8" authorId="0" shapeId="0">
      <text>
        <r>
          <rPr>
            <sz val="8"/>
            <color indexed="81"/>
            <rFont val="Tahoma"/>
            <family val="2"/>
          </rPr>
          <t xml:space="preserve">Zero if pop direct &lt; threshold pop.
</t>
        </r>
      </text>
    </comment>
    <comment ref="Q9" authorId="0" shapeId="0">
      <text>
        <r>
          <rPr>
            <b/>
            <sz val="8"/>
            <color indexed="81"/>
            <rFont val="Tahoma"/>
            <family val="2"/>
          </rPr>
          <t>100%- CHS %</t>
        </r>
      </text>
    </comment>
    <comment ref="Q10" authorId="0" shapeId="0">
      <text>
        <r>
          <rPr>
            <b/>
            <sz val="8"/>
            <color indexed="81"/>
            <rFont val="Tahoma"/>
            <family val="2"/>
          </rPr>
          <t>If square km is unknown, 6.6 users per sq.km. is assumed.  6.6 is the average of 17 Units.</t>
        </r>
      </text>
    </comment>
    <comment ref="Q11" authorId="0" shapeId="0">
      <text>
        <r>
          <rPr>
            <b/>
            <sz val="8"/>
            <color indexed="81"/>
            <rFont val="Tahoma"/>
            <family val="2"/>
          </rPr>
          <t>Uses higher of actual runs or 131/1,000.</t>
        </r>
        <r>
          <rPr>
            <sz val="8"/>
            <color indexed="81"/>
            <rFont val="Tahoma"/>
            <family val="2"/>
          </rPr>
          <t xml:space="preserve">
</t>
        </r>
      </text>
    </comment>
    <comment ref="O15" authorId="0" shapeId="0">
      <text>
        <r>
          <rPr>
            <sz val="8"/>
            <color indexed="81"/>
            <rFont val="Tahoma"/>
            <family val="2"/>
          </rPr>
          <t>Verifies a numeric user input for CHS%, otherwise defaults to 100% except where actual CHS runs allow % calculations.</t>
        </r>
      </text>
    </comment>
    <comment ref="P15" authorId="0" shapeId="0">
      <text>
        <r>
          <rPr>
            <b/>
            <sz val="8"/>
            <color indexed="81"/>
            <rFont val="Tahoma"/>
            <family val="2"/>
          </rPr>
          <t>Checks whether direct pop threshold is OK, else CHS=100%</t>
        </r>
        <r>
          <rPr>
            <sz val="8"/>
            <color indexed="81"/>
            <rFont val="Tahoma"/>
            <family val="2"/>
          </rPr>
          <t xml:space="preserve">
</t>
        </r>
      </text>
    </comment>
    <comment ref="Q15" authorId="0" shapeId="0">
      <text>
        <r>
          <rPr>
            <b/>
            <sz val="8"/>
            <color indexed="81"/>
            <rFont val="Tahoma"/>
            <family val="2"/>
          </rPr>
          <t xml:space="preserve">Actual local CHS % or 100%.
If Pop * Direct % is not &gt; than Minimum Direct population, a direct EMS program is not practical and 100% CHS is assumed. </t>
        </r>
      </text>
    </comment>
    <comment ref="T15" authorId="0" shapeId="0">
      <text>
        <r>
          <rPr>
            <sz val="8"/>
            <color indexed="81"/>
            <rFont val="Tahoma"/>
            <family val="2"/>
          </rPr>
          <t>This illustrates the conversion of the old EMS formula  from "relative value" units per population and then into FTE, ie. 1/1000 is the staffing ratio which is a combination of 2 ratios in the old EMS formula. 
1) .4 is the # of relative value (RV) units per 1,000 users for less than 3,250 users in  the original EMS RRMNA model.
2) 2.5 is the # of FTE per RV unit in old RRMNA table
Similar conversions were applied to the other parameters in this table.</t>
        </r>
      </text>
    </comment>
    <comment ref="Q16" authorId="0" shapeId="0">
      <text>
        <r>
          <rPr>
            <b/>
            <sz val="8"/>
            <color indexed="81"/>
            <rFont val="Tahoma"/>
            <family val="2"/>
          </rPr>
          <t>CHS % * Users</t>
        </r>
      </text>
    </comment>
    <comment ref="T16" authorId="0" shapeId="0">
      <text>
        <r>
          <rPr>
            <b/>
            <sz val="8"/>
            <color indexed="81"/>
            <rFont val="Tahoma"/>
            <family val="2"/>
          </rPr>
          <t>Cliff Wiggins:</t>
        </r>
        <r>
          <rPr>
            <sz val="8"/>
            <color indexed="81"/>
            <rFont val="Tahoma"/>
            <family val="2"/>
          </rPr>
          <t xml:space="preserve">
Old RRMNA Value was .25.
Evaluation of results suggest this is too low.  Ric Broderic suggested raising value by 1/3 of difference with small programs.  
New Value = .45</t>
        </r>
      </text>
    </comment>
    <comment ref="U16" authorId="0" shapeId="0">
      <text>
        <r>
          <rPr>
            <b/>
            <sz val="8"/>
            <color indexed="81"/>
            <rFont val="Tahoma"/>
            <family val="2"/>
          </rPr>
          <t>Cliff Wiggins:</t>
        </r>
        <r>
          <rPr>
            <sz val="8"/>
            <color indexed="81"/>
            <rFont val="Tahoma"/>
            <family val="2"/>
          </rPr>
          <t xml:space="preserve">
Original value 2.5</t>
        </r>
      </text>
    </comment>
    <comment ref="Q17" authorId="0" shapeId="0">
      <text>
        <r>
          <rPr>
            <b/>
            <sz val="8"/>
            <color indexed="81"/>
            <rFont val="Tahoma"/>
            <family val="2"/>
          </rPr>
          <t>Uses higher of actual runs or 131/1,000.</t>
        </r>
        <r>
          <rPr>
            <sz val="8"/>
            <color indexed="81"/>
            <rFont val="Tahoma"/>
            <family val="2"/>
          </rPr>
          <t xml:space="preserve">
</t>
        </r>
      </text>
    </comment>
    <comment ref="P18" authorId="0" shapeId="0">
      <text>
        <r>
          <rPr>
            <b/>
            <sz val="8"/>
            <color indexed="81"/>
            <rFont val="Tahoma"/>
            <family val="2"/>
          </rPr>
          <t>An intermediate check to determine whether to use CHS % as calculated from runs data or as specified by the user.</t>
        </r>
        <r>
          <rPr>
            <sz val="8"/>
            <color indexed="81"/>
            <rFont val="Tahoma"/>
            <family val="2"/>
          </rPr>
          <t xml:space="preserve">
</t>
        </r>
      </text>
    </comment>
    <comment ref="G19" authorId="0" shapeId="0">
      <text>
        <r>
          <rPr>
            <b/>
            <sz val="8"/>
            <color indexed="81"/>
            <rFont val="Tahoma"/>
            <family val="2"/>
          </rPr>
          <t>A minimum of 2 Ambulances.  If &gt;2 the # is rounded to the next whole #.</t>
        </r>
      </text>
    </comment>
    <comment ref="Q19" authorId="0" shapeId="0">
      <text>
        <r>
          <rPr>
            <b/>
            <sz val="8"/>
            <color indexed="81"/>
            <rFont val="Tahoma"/>
            <family val="2"/>
          </rPr>
          <t>Defualts to the national averge (see blue cells) unless local cost is provided</t>
        </r>
        <r>
          <rPr>
            <sz val="8"/>
            <color indexed="81"/>
            <rFont val="Tahoma"/>
            <family val="2"/>
          </rPr>
          <t xml:space="preserve">
</t>
        </r>
      </text>
    </comment>
    <comment ref="U23" authorId="0" shapeId="0">
      <text>
        <r>
          <rPr>
            <b/>
            <sz val="8"/>
            <color indexed="81"/>
            <rFont val="Tahoma"/>
            <family val="2"/>
          </rPr>
          <t>Cliff Wiggins:</t>
        </r>
        <r>
          <rPr>
            <sz val="8"/>
            <color indexed="81"/>
            <rFont val="Tahoma"/>
            <family val="2"/>
          </rPr>
          <t xml:space="preserve">
Original value = 3.5
New value = 2.75</t>
        </r>
      </text>
    </comment>
    <comment ref="T30" authorId="0" shapeId="0">
      <text>
        <r>
          <rPr>
            <b/>
            <sz val="8"/>
            <color indexed="81"/>
            <rFont val="Tahoma"/>
            <family val="2"/>
          </rPr>
          <t>Cliff Wiggins:</t>
        </r>
        <r>
          <rPr>
            <sz val="8"/>
            <color indexed="81"/>
            <rFont val="Tahoma"/>
            <family val="2"/>
          </rPr>
          <t xml:space="preserve">
Old RRMNA Value was 2.25.
Evaluation of results suggest this is too low.  Ric Broderic suggested raising value by 1/3 of difference with small programs.  
New Value = 3.5</t>
        </r>
      </text>
    </comment>
    <comment ref="U30" authorId="0" shapeId="0">
      <text>
        <r>
          <rPr>
            <b/>
            <sz val="8"/>
            <color indexed="81"/>
            <rFont val="Tahoma"/>
            <family val="2"/>
          </rPr>
          <t>Cliff Wiggins:</t>
        </r>
        <r>
          <rPr>
            <sz val="8"/>
            <color indexed="81"/>
            <rFont val="Tahoma"/>
            <family val="2"/>
          </rPr>
          <t xml:space="preserve">
Original value = 4.5
New value =3.5</t>
        </r>
      </text>
    </comment>
    <comment ref="T38" authorId="0" shapeId="0">
      <text>
        <r>
          <rPr>
            <b/>
            <sz val="8"/>
            <color indexed="81"/>
            <rFont val="Tahoma"/>
            <family val="2"/>
          </rPr>
          <t>Data supplied annually by EMS or RRM committee</t>
        </r>
      </text>
    </comment>
    <comment ref="N41" authorId="0" shapeId="0">
      <text>
        <r>
          <rPr>
            <b/>
            <sz val="8"/>
            <color indexed="81"/>
            <rFont val="Tahoma"/>
            <family val="2"/>
          </rPr>
          <t>Cliff Wiggins:</t>
        </r>
        <r>
          <rPr>
            <sz val="8"/>
            <color indexed="81"/>
            <rFont val="Tahoma"/>
            <family val="2"/>
          </rPr>
          <t xml:space="preserve">
Should be updated annually for actual costs for the grade and experience level that is assumed for each type.</t>
        </r>
      </text>
    </comment>
    <comment ref="T41" authorId="0" shapeId="0">
      <text>
        <r>
          <rPr>
            <b/>
            <sz val="8"/>
            <color indexed="81"/>
            <rFont val="Tahoma"/>
            <family val="2"/>
          </rPr>
          <t>Data supplied annually by EMS or RRM committee</t>
        </r>
      </text>
    </comment>
    <comment ref="N53" authorId="0" shapeId="0">
      <text>
        <r>
          <rPr>
            <b/>
            <sz val="8"/>
            <color indexed="81"/>
            <rFont val="Tahoma"/>
            <family val="2"/>
          </rPr>
          <t xml:space="preserve">If less than Minimum, Minimum # of FTE is used.  </t>
        </r>
      </text>
    </comment>
    <comment ref="M57" authorId="0" shapeId="0">
      <text>
        <r>
          <rPr>
            <b/>
            <sz val="8"/>
            <color indexed="81"/>
            <rFont val="Tahoma"/>
            <family val="2"/>
          </rPr>
          <t>Cliff Wiggins:</t>
        </r>
        <r>
          <rPr>
            <sz val="8"/>
            <color indexed="81"/>
            <rFont val="Tahoma"/>
            <family val="2"/>
          </rPr>
          <t xml:space="preserve">
No Direct EMS staff at less than the 10 FTE minimum</t>
        </r>
      </text>
    </comment>
    <comment ref="M58" authorId="0" shapeId="0">
      <text>
        <r>
          <rPr>
            <b/>
            <sz val="8"/>
            <color indexed="81"/>
            <rFont val="Tahoma"/>
            <family val="2"/>
          </rPr>
          <t>Cliff Wiggins:</t>
        </r>
        <r>
          <rPr>
            <sz val="8"/>
            <color indexed="81"/>
            <rFont val="Tahoma"/>
            <family val="2"/>
          </rPr>
          <t xml:space="preserve">
EMT-B and EMT-A/P = 1/2 (FTE-2) rounded up to the nearest .5 FTE</t>
        </r>
      </text>
    </comment>
    <comment ref="M59" authorId="0" shapeId="0">
      <text>
        <r>
          <rPr>
            <b/>
            <sz val="8"/>
            <color indexed="81"/>
            <rFont val="Tahoma"/>
            <family val="2"/>
          </rPr>
          <t>Cliff Wiggins:</t>
        </r>
        <r>
          <rPr>
            <sz val="8"/>
            <color indexed="81"/>
            <rFont val="Tahoma"/>
            <family val="2"/>
          </rPr>
          <t xml:space="preserve">
EMT-B and EMT-A/P = 1/2 (FTE-4) rounded up to the nearest .5 FTE
</t>
        </r>
      </text>
    </comment>
    <comment ref="M60" authorId="0" shapeId="0">
      <text>
        <r>
          <rPr>
            <b/>
            <sz val="8"/>
            <color indexed="81"/>
            <rFont val="Tahoma"/>
            <family val="2"/>
          </rPr>
          <t>Cliff Wiggins:</t>
        </r>
        <r>
          <rPr>
            <sz val="8"/>
            <color indexed="81"/>
            <rFont val="Tahoma"/>
            <family val="2"/>
          </rPr>
          <t xml:space="preserve">
EMT-B and EMT-A/P = 1/2 (FTE-6) rounded up to the nearest .5 FTE</t>
        </r>
      </text>
    </comment>
  </commentList>
</comments>
</file>

<file path=xl/sharedStrings.xml><?xml version="1.0" encoding="utf-8"?>
<sst xmlns="http://schemas.openxmlformats.org/spreadsheetml/2006/main" count="2297" uniqueCount="1036">
  <si>
    <t>Today's Date:</t>
  </si>
  <si>
    <t>RRM FACILITY IDENTIFICATION INFORMATION</t>
  </si>
  <si>
    <t>Health Center</t>
  </si>
  <si>
    <t>(USER INPUT ARE IN YELLOW CELLS, BLUE CELLS WILL OVERRIDE FORMULAS)</t>
  </si>
  <si>
    <t>Hospital</t>
  </si>
  <si>
    <t>1.</t>
  </si>
  <si>
    <t>Facility Name:</t>
  </si>
  <si>
    <t>2.</t>
  </si>
  <si>
    <t>Contact:</t>
  </si>
  <si>
    <t>Telephone No:</t>
  </si>
  <si>
    <t>Area - Name</t>
  </si>
  <si>
    <t>4.</t>
  </si>
  <si>
    <t>Service Unit - Name</t>
  </si>
  <si>
    <t xml:space="preserve">           - Code</t>
  </si>
  <si>
    <t>5.</t>
  </si>
  <si>
    <t>Facility - Code</t>
  </si>
  <si>
    <t>6.</t>
  </si>
  <si>
    <t>Type of Facility</t>
  </si>
  <si>
    <t>TOTAL RRM STAFFING:</t>
  </si>
  <si>
    <t>Land Area Required for Health Care Facilities</t>
  </si>
  <si>
    <t>ha</t>
  </si>
  <si>
    <t xml:space="preserve">  FACILITY SPACE ESTIMATES</t>
  </si>
  <si>
    <t>7.</t>
  </si>
  <si>
    <t>8.</t>
  </si>
  <si>
    <t>9.</t>
  </si>
  <si>
    <t>10.</t>
  </si>
  <si>
    <t>Number of Quarters:</t>
  </si>
  <si>
    <t>Quarters Space:</t>
  </si>
  <si>
    <t xml:space="preserve">  GROUNDS ESTIMATES</t>
  </si>
  <si>
    <t xml:space="preserve">  POPULATION </t>
  </si>
  <si>
    <t>Inpatient</t>
  </si>
  <si>
    <t>Ambulatory</t>
  </si>
  <si>
    <t>Eye Care</t>
  </si>
  <si>
    <t>Audiology</t>
  </si>
  <si>
    <t>Dental</t>
  </si>
  <si>
    <t>Social Services</t>
  </si>
  <si>
    <t>Mental Health</t>
  </si>
  <si>
    <t>Nutrition</t>
  </si>
  <si>
    <t>Public Health Nursing</t>
  </si>
  <si>
    <t>YES</t>
  </si>
  <si>
    <t>NO</t>
  </si>
  <si>
    <t>Emergency Medical Service</t>
  </si>
  <si>
    <t>Health Education</t>
  </si>
  <si>
    <t>OTHER FACTORS</t>
  </si>
  <si>
    <t>EMS Program?</t>
  </si>
  <si>
    <t>Patron Rations?</t>
  </si>
  <si>
    <t>Highest figure used between</t>
  </si>
  <si>
    <t>Inpatient and Ambulatory active</t>
  </si>
  <si>
    <t>user populations shown above.</t>
  </si>
  <si>
    <t>Remote Location</t>
  </si>
  <si>
    <t xml:space="preserve">YES </t>
  </si>
  <si>
    <t>Days</t>
  </si>
  <si>
    <t>ALOS</t>
  </si>
  <si>
    <t>On-Site</t>
  </si>
  <si>
    <t>% Indian</t>
  </si>
  <si>
    <t>GM</t>
  </si>
  <si>
    <t>Admissions</t>
  </si>
  <si>
    <t>OB/GYN</t>
  </si>
  <si>
    <t>ADMISSIONS - OVERRIDE CELL</t>
  </si>
  <si>
    <t>STAFFING:</t>
  </si>
  <si>
    <t>SURG</t>
  </si>
  <si>
    <t>ADMISSIONS - CALCULATED CELL</t>
  </si>
  <si>
    <t>PEDS</t>
  </si>
  <si>
    <t>CASES</t>
  </si>
  <si>
    <t>On-Site Deliveries/Cases</t>
  </si>
  <si>
    <t>Projected # of Deliveries</t>
  </si>
  <si>
    <t>ICU</t>
  </si>
  <si>
    <t># Inpatient General Surgical Cases</t>
  </si>
  <si>
    <t>Psych</t>
  </si>
  <si>
    <t>Total Number of Beds.</t>
  </si>
  <si>
    <t>Bed Adjustment to calculate</t>
  </si>
  <si>
    <t>Staffed Beds Used by RRM:</t>
  </si>
  <si>
    <t>TOTAL Admissions:</t>
  </si>
  <si>
    <t>DAYS/NURSING STATIONS</t>
  </si>
  <si>
    <t>On-Site Days</t>
  </si>
  <si>
    <t>Nurse Stations</t>
  </si>
  <si>
    <t xml:space="preserve"> = ADPL + 25%</t>
  </si>
  <si>
    <t>Override:</t>
  </si>
  <si>
    <t>General Medicine</t>
  </si>
  <si>
    <t>Obstetrics/Gynecology</t>
  </si>
  <si>
    <t>Surgery</t>
  </si>
  <si>
    <t>Pediatrics</t>
  </si>
  <si>
    <t>ICU/CCU</t>
  </si>
  <si>
    <t>Psychiatric</t>
  </si>
  <si>
    <t>Ambulatory Care</t>
  </si>
  <si>
    <t>Birthing Units</t>
  </si>
  <si>
    <t>Other :</t>
  </si>
  <si>
    <t>RRM Staffing:</t>
  </si>
  <si>
    <t>SUBTOTAL:</t>
  </si>
  <si>
    <t>Remote Location (Inpatient Special Justification)</t>
  </si>
  <si>
    <t>worksheet area</t>
  </si>
  <si>
    <t>Actual OPVs</t>
  </si>
  <si>
    <t>RRM AMBULATORY &amp; COMMUNITY HEALTH WORKLOAD</t>
  </si>
  <si>
    <t>OPVs to HOSP</t>
  </si>
  <si>
    <t>RRM STAFFING:</t>
  </si>
  <si>
    <t>User Population:</t>
  </si>
  <si>
    <t>(with Indian %)</t>
  </si>
  <si>
    <t>RRM Calculation Pop:</t>
  </si>
  <si>
    <t>OPVs to H.S.</t>
  </si>
  <si>
    <t>(with minimum)</t>
  </si>
  <si>
    <t>PRIMARY CARE PROVIDER VISITS</t>
  </si>
  <si>
    <t>Quarters:</t>
  </si>
  <si>
    <t>PCPVs</t>
  </si>
  <si>
    <t>Primary Care Provider Visit (PCPVs)</t>
  </si>
  <si>
    <t>RRM Calculation PCPVs:</t>
  </si>
  <si>
    <t>1a.</t>
  </si>
  <si>
    <t>RMM Calculation OPVs:</t>
  </si>
  <si>
    <t>CHP Ambulatory Encounters</t>
  </si>
  <si>
    <t>Hosp OPV Fctr:</t>
  </si>
  <si>
    <t>These factors need to be updated</t>
  </si>
  <si>
    <t>Override OPV</t>
  </si>
  <si>
    <t>RRM CALC</t>
  </si>
  <si>
    <t>AMB OPV Fctr:</t>
  </si>
  <si>
    <t>by HQ-Statistics Branch annually</t>
  </si>
  <si>
    <t>Outpatient Visits (OPVs)</t>
  </si>
  <si>
    <t>OUTPATIENT SURGERY</t>
  </si>
  <si>
    <t>Cases</t>
  </si>
  <si>
    <t>3.</t>
  </si>
  <si>
    <t>Outpatient Surgery</t>
  </si>
  <si>
    <t xml:space="preserve"> EMERGENCY</t>
  </si>
  <si>
    <t>yes</t>
  </si>
  <si>
    <t xml:space="preserve">  NURSING</t>
  </si>
  <si>
    <t># Patient Escort Hours, if provided:</t>
  </si>
  <si>
    <t xml:space="preserve">  PUBLIC HEALTH NURSING</t>
  </si>
  <si>
    <t>ER</t>
  </si>
  <si>
    <t>Observation</t>
  </si>
  <si>
    <t>Are</t>
  </si>
  <si>
    <t>Disch Planning:</t>
  </si>
  <si>
    <t>Level</t>
  </si>
  <si>
    <t>Beds?</t>
  </si>
  <si>
    <t>Interpreter</t>
  </si>
  <si>
    <t>Discharge Planning by PHN?</t>
  </si>
  <si>
    <t># of Weekly One Hour PHN Managed Clinics:</t>
  </si>
  <si>
    <t># of CHRs Supervised</t>
  </si>
  <si>
    <t>Are Interpreter Services Required?</t>
  </si>
  <si>
    <t>% of Population Requiring Interpreter Services:</t>
  </si>
  <si>
    <t>Number of OEHE Staff</t>
  </si>
  <si>
    <t>INPATIENT &amp; ANCILLARY CLINICAL CARE</t>
  </si>
  <si>
    <t>PSYCH ADPL:</t>
  </si>
  <si>
    <t>Beds:</t>
  </si>
  <si>
    <t>Hospital? Flag =</t>
  </si>
  <si>
    <t>ICU/Med/Surg Beds</t>
  </si>
  <si>
    <t>PED ADPL:</t>
  </si>
  <si>
    <t>TOTAL ADPL:</t>
  </si>
  <si>
    <t>RRM Module</t>
  </si>
  <si>
    <t>DRIVER</t>
  </si>
  <si>
    <t>WORKLOAD</t>
  </si>
  <si>
    <t>FTEs</t>
  </si>
  <si>
    <t>OR CASES:</t>
  </si>
  <si>
    <t>Staffing Category</t>
  </si>
  <si>
    <t>AMB SURG CASES:</t>
  </si>
  <si>
    <t>INPATIENT CARE</t>
  </si>
  <si>
    <t>ACUTE CARE NURSING</t>
  </si>
  <si>
    <t>INPATIENT PHYSICIANS</t>
  </si>
  <si>
    <t>Chief of Service</t>
  </si>
  <si>
    <t>PHYSICIANS</t>
  </si>
  <si>
    <t>GM Physician</t>
  </si>
  <si>
    <t>Facility</t>
  </si>
  <si>
    <t>GM ADPL</t>
  </si>
  <si>
    <t>HSP Bed Days Min Remote Alaska</t>
  </si>
  <si>
    <t>Peds. Physician</t>
  </si>
  <si>
    <t>PED ADPL</t>
  </si>
  <si>
    <t xml:space="preserve">HSP Bed Days Min </t>
  </si>
  <si>
    <t>OB/GYN Physician</t>
  </si>
  <si>
    <t>OB/GYN ADPL</t>
  </si>
  <si>
    <t>Clerical Support</t>
  </si>
  <si>
    <t>This Color means HSP Threshold</t>
  </si>
  <si>
    <t>SURGERY/OBSTETRICS</t>
  </si>
  <si>
    <t>General Surgeon</t>
  </si>
  <si>
    <t>Gen Surg Cases</t>
  </si>
  <si>
    <t>OB/GYN Surgeon</t>
  </si>
  <si>
    <t>OB Cases+Delivs.</t>
  </si>
  <si>
    <t>Nurse/Midwife</t>
  </si>
  <si>
    <t>Anethesiologist</t>
  </si>
  <si>
    <t>GS+OB+Delivery</t>
  </si>
  <si>
    <t>INPATIENT NURSING</t>
  </si>
  <si>
    <t>Nursing Administration</t>
  </si>
  <si>
    <t>Nurse Station+6</t>
  </si>
  <si>
    <t>Admin. Clerical Support</t>
  </si>
  <si>
    <t xml:space="preserve">Hospital </t>
  </si>
  <si>
    <t>GM/SURG-Registered Nurse</t>
  </si>
  <si>
    <t>ADPL</t>
  </si>
  <si>
    <t>GM/SURG-LPN/Technician</t>
  </si>
  <si>
    <t>GM/SURG-Clerical Support</t>
  </si>
  <si>
    <t>PED-Registered Nurse</t>
  </si>
  <si>
    <t>PED-LPN/Technician</t>
  </si>
  <si>
    <t>PED-Clerical Support</t>
  </si>
  <si>
    <t>OB/L&amp;D-Registered Nurse</t>
  </si>
  <si>
    <t>OB Cases</t>
  </si>
  <si>
    <t>Deliveries</t>
  </si>
  <si>
    <t>OB/L&amp;D, LPN/Technician</t>
  </si>
  <si>
    <t>OB/L&amp;D- Clerical Support</t>
  </si>
  <si>
    <t>Nursery, RN, Fixed</t>
  </si>
  <si>
    <t>Bassinets</t>
  </si>
  <si>
    <t>Nursery LPN/Technician</t>
  </si>
  <si>
    <t>Nursery, Clerical Support</t>
  </si>
  <si>
    <t>Nursery</t>
  </si>
  <si>
    <t>ICU, RN</t>
  </si>
  <si>
    <t>ICU, Clerical Support</t>
  </si>
  <si>
    <t>OR  RN</t>
  </si>
  <si>
    <t>Facility w/OR</t>
  </si>
  <si>
    <t>GS Cases</t>
  </si>
  <si>
    <t>OR, LPN/Technician</t>
  </si>
  <si>
    <t>Post Anesthesia Recovery, RN</t>
  </si>
  <si>
    <t>Ambulatory Surgery, RN</t>
  </si>
  <si>
    <t xml:space="preserve">AMB SURG cases </t>
  </si>
  <si>
    <t>Psych-RN, Fixed</t>
  </si>
  <si>
    <t>Psych Unit</t>
  </si>
  <si>
    <t>Psych, LPN Technican</t>
  </si>
  <si>
    <t>Psych, Clerical Support</t>
  </si>
  <si>
    <t>Nurse Educator</t>
  </si>
  <si>
    <t>TOTAL INPATIENT</t>
  </si>
  <si>
    <t xml:space="preserve">   ANCILLARY CLINICAL CARE</t>
  </si>
  <si>
    <t>LABORATORY</t>
  </si>
  <si>
    <t>Medical Technician</t>
  </si>
  <si>
    <t>Hospital Only</t>
  </si>
  <si>
    <t>Total-ADPL</t>
  </si>
  <si>
    <t>Medical Technician (CHA/P)</t>
  </si>
  <si>
    <t>CHP Encounters</t>
  </si>
  <si>
    <t>Medical Technologist, Outpatient</t>
  </si>
  <si>
    <t>PCPV</t>
  </si>
  <si>
    <t>Medical Technician, Outpatient</t>
  </si>
  <si>
    <t>PHARMACY</t>
  </si>
  <si>
    <t>Pharmacist</t>
  </si>
  <si>
    <t>Pharmacist (CHA/P)</t>
  </si>
  <si>
    <t>IMAGING</t>
  </si>
  <si>
    <t>Imaging Technologist</t>
  </si>
  <si>
    <t>MC, ICU, GEN SURG</t>
  </si>
  <si>
    <t>Imaging Technologist (CHA/P)</t>
  </si>
  <si>
    <t>Imaging Technologist, Outpatient</t>
  </si>
  <si>
    <t>PCC Supervisor</t>
  </si>
  <si>
    <t>PCC Staff</t>
  </si>
  <si>
    <t>PCC Data Entry Personnel</t>
  </si>
  <si>
    <t>OPV (Hospital)</t>
  </si>
  <si>
    <t>OPV (Center or Station)</t>
  </si>
  <si>
    <t>PCC Data Entry Personnel (CHA/P)</t>
  </si>
  <si>
    <t>new</t>
  </si>
  <si>
    <t>Coder</t>
  </si>
  <si>
    <t>Adjustment may be needed with electronic charting</t>
  </si>
  <si>
    <t>OPV</t>
  </si>
  <si>
    <t>Medical Runner</t>
  </si>
  <si>
    <t>OPV/User Pop</t>
  </si>
  <si>
    <t>RESPIRATORY THERAPY</t>
  </si>
  <si>
    <t>Respiratory Staff</t>
  </si>
  <si>
    <t>Inpatient days</t>
  </si>
  <si>
    <t>cell J189 is adpl threshold</t>
  </si>
  <si>
    <t>TOTAL ANCILLARY CLINICAL CARE</t>
  </si>
  <si>
    <t>TOTAL ANCILLARY &amp; INPATIENT</t>
  </si>
  <si>
    <t>RRM STAFFING NEEDS DETAIL</t>
  </si>
  <si>
    <t>AMBULATORY CLINICS I &amp; II</t>
  </si>
  <si>
    <t>AMBULATORY CLINICS</t>
  </si>
  <si>
    <t>AMBULATORY PHYSICIANS</t>
  </si>
  <si>
    <t>Primary Care Provider</t>
  </si>
  <si>
    <t>Primary Care Provider (CHA/P)</t>
  </si>
  <si>
    <t>CHP</t>
  </si>
  <si>
    <t>EMS Medical Director</t>
  </si>
  <si>
    <t xml:space="preserve">EMS Program </t>
  </si>
  <si>
    <t>AMBULATORY SURGERY</t>
  </si>
  <si>
    <t>Surgery Cases</t>
  </si>
  <si>
    <t>NURSING AMBULATORY</t>
  </si>
  <si>
    <t>Nurse Supervisor. (in Hosp. OPD)</t>
  </si>
  <si>
    <t>RN Staff</t>
  </si>
  <si>
    <t>Medical Clerk, Exec. Support, Hosp OPD</t>
  </si>
  <si>
    <t>Nurse Manager</t>
  </si>
  <si>
    <t>Registered Nurse, Core Activities</t>
  </si>
  <si>
    <t>LPN</t>
  </si>
  <si>
    <t>RNs, Patient Escort</t>
  </si>
  <si>
    <t>Escort Hours</t>
  </si>
  <si>
    <t>RNs, Ambulatory Clinic Observation Beds</t>
  </si>
  <si>
    <t>Observation Beds</t>
  </si>
  <si>
    <t>AMBULATORY CLINICS II</t>
  </si>
  <si>
    <t>EYE CARE</t>
  </si>
  <si>
    <t>Optometrist</t>
  </si>
  <si>
    <t>User Pop</t>
  </si>
  <si>
    <t>Optometric Assistant</t>
  </si>
  <si>
    <t>Optometric Technician</t>
  </si>
  <si>
    <t>Ophthalmologist</t>
  </si>
  <si>
    <t>Ophthalmologist Assistant</t>
  </si>
  <si>
    <t>AUDIOLOGY</t>
  </si>
  <si>
    <t>Audiologist</t>
  </si>
  <si>
    <t>Audiometric Technician</t>
  </si>
  <si>
    <t>PHYSICAL THERAPY</t>
  </si>
  <si>
    <t>DENTAL</t>
  </si>
  <si>
    <t>Dentist</t>
  </si>
  <si>
    <t>Dental Assistant</t>
  </si>
  <si>
    <t>Dental Hygienist</t>
  </si>
  <si>
    <t>Total Ambulatory</t>
  </si>
  <si>
    <t>FTE Rate</t>
  </si>
  <si>
    <t>Service Pop</t>
  </si>
  <si>
    <t>Threshold</t>
  </si>
  <si>
    <t>GEN. SERVICES &amp; PLANT OPERATIONS</t>
  </si>
  <si>
    <t>HOUSEKEEPING</t>
  </si>
  <si>
    <t>Janitor/Housekeeper</t>
  </si>
  <si>
    <t>meters squared</t>
  </si>
  <si>
    <t>FACILITY MAINTENANCE</t>
  </si>
  <si>
    <t>Maintenance Staff</t>
  </si>
  <si>
    <t>Grounds</t>
  </si>
  <si>
    <t xml:space="preserve">Non-Inpat </t>
  </si>
  <si>
    <t>varies</t>
  </si>
  <si>
    <t>Quarters sm</t>
  </si>
  <si>
    <t>CLINICAL ENGINEERING</t>
  </si>
  <si>
    <t>Clinical Engineering Staff</t>
  </si>
  <si>
    <t>Clinical Engineer</t>
  </si>
  <si>
    <t>ER Visits</t>
  </si>
  <si>
    <t>Dental Svs Min</t>
  </si>
  <si>
    <t>Cell L29 is a conversion factor</t>
  </si>
  <si>
    <t>Births</t>
  </si>
  <si>
    <t>Op &amp; Non Surgical Procedures</t>
  </si>
  <si>
    <t>Clinical Engineer Technician</t>
  </si>
  <si>
    <t>Cell L32 is a conversion factor</t>
  </si>
  <si>
    <t>LAUNDRY - Hospitals</t>
  </si>
  <si>
    <t>Laundry staff</t>
  </si>
  <si>
    <t>FOOD SERVICES - Hospitals</t>
  </si>
  <si>
    <t>Warehouseman</t>
  </si>
  <si>
    <t>STAFF</t>
  </si>
  <si>
    <t>STAFF HEALTH</t>
  </si>
  <si>
    <t>Registered Nurse</t>
  </si>
  <si>
    <t>ADMIN. &amp; PROGRAM MANAGEMENT</t>
  </si>
  <si>
    <t>Executive Staff</t>
  </si>
  <si>
    <t>Staff</t>
  </si>
  <si>
    <t>Admin. Support Staff</t>
  </si>
  <si>
    <t>Clinical Director</t>
  </si>
  <si>
    <t>ADMINISTRATION - Health Centers</t>
  </si>
  <si>
    <t>Facilities</t>
  </si>
  <si>
    <t>FINANCIAL MANAGEMENT</t>
  </si>
  <si>
    <t>Finance Staff</t>
  </si>
  <si>
    <t>OFFICE SERVICES</t>
  </si>
  <si>
    <t>Office Staff</t>
  </si>
  <si>
    <t>Total FTE</t>
  </si>
  <si>
    <t>FTE</t>
  </si>
  <si>
    <t>PO's</t>
  </si>
  <si>
    <t>BUSINESS OFFICE</t>
  </si>
  <si>
    <t>Business Manager</t>
  </si>
  <si>
    <t>Per S.U. or facility, over 20,000 OPV</t>
  </si>
  <si>
    <t>Patient Registration Tech.</t>
  </si>
  <si>
    <t>OPVs above 20K</t>
  </si>
  <si>
    <t>Benefit Coordinator</t>
  </si>
  <si>
    <t>QUALITY MANAGEMENT</t>
  </si>
  <si>
    <t>Performance Improvement Staff</t>
  </si>
  <si>
    <t>CENTRAL SUPPLY</t>
  </si>
  <si>
    <t>Central Supply Staff</t>
  </si>
  <si>
    <t>Nursing Units</t>
  </si>
  <si>
    <t>OR Services</t>
  </si>
  <si>
    <t>INTERPRETERS</t>
  </si>
  <si>
    <t>DRIVERS</t>
  </si>
  <si>
    <t>Driver</t>
  </si>
  <si>
    <t>Administration Subtotal:</t>
  </si>
  <si>
    <t>ADMINISTRATION</t>
  </si>
  <si>
    <r>
      <t>m</t>
    </r>
    <r>
      <rPr>
        <vertAlign val="superscript"/>
        <sz val="12"/>
        <rFont val="Arial"/>
        <family val="2"/>
      </rPr>
      <t>2</t>
    </r>
  </si>
  <si>
    <t>Total SM:</t>
  </si>
  <si>
    <t>Facility SM</t>
  </si>
  <si>
    <t>Not Used in Formulas</t>
  </si>
  <si>
    <t>Input Field</t>
  </si>
  <si>
    <t>Override</t>
  </si>
  <si>
    <t>User Notes</t>
  </si>
  <si>
    <t>Last Update:</t>
  </si>
  <si>
    <t>EMS Authorized via "EMS Module"</t>
  </si>
  <si>
    <t>Discipline Sub-Totals</t>
  </si>
  <si>
    <t>Department Sub-Totals</t>
  </si>
  <si>
    <t>Threshold changed to match HSP</t>
  </si>
  <si>
    <t>ICU Bed-Days</t>
  </si>
  <si>
    <t>Sub-Acute Bed Days</t>
  </si>
  <si>
    <t>TOTAL</t>
  </si>
  <si>
    <t>&gt; 43 FTE</t>
  </si>
  <si>
    <t>23-43 FTE</t>
  </si>
  <si>
    <t>10-23 FTE</t>
  </si>
  <si>
    <t>&lt; 10 FTE</t>
  </si>
  <si>
    <t>SUB-TOTAL</t>
  </si>
  <si>
    <t>Supervisor</t>
  </si>
  <si>
    <t>Clerks</t>
  </si>
  <si>
    <t>EMT-I/P</t>
  </si>
  <si>
    <t>EMT-B</t>
  </si>
  <si>
    <t>Break Levels</t>
  </si>
  <si>
    <t>STAFF BY CATEGORY (ROUNDED)</t>
  </si>
  <si>
    <t>MINIMUM</t>
  </si>
  <si>
    <t>SUB_TOTAL</t>
  </si>
  <si>
    <t>EMT (Runs)</t>
  </si>
  <si>
    <t>EMT (SqK)</t>
  </si>
  <si>
    <t>EMT (Pop.)</t>
  </si>
  <si>
    <t xml:space="preserve">FTE </t>
  </si>
  <si>
    <t>RAW FTE PROJECTIONS</t>
  </si>
  <si>
    <t xml:space="preserve">% Support </t>
  </si>
  <si>
    <t>Support Cost Ratio</t>
  </si>
  <si>
    <t>Avg, CHS $ / Run</t>
  </si>
  <si>
    <t>CHS COST PER RUN</t>
  </si>
  <si>
    <t>Average Annual Salary + Ben. / FTE</t>
  </si>
  <si>
    <t>Annual Lease Cost</t>
  </si>
  <si>
    <t>Minimum # of Amb.</t>
  </si>
  <si>
    <t>FTE per Ambulance</t>
  </si>
  <si>
    <t>FTE PER AMBULANCE</t>
  </si>
  <si>
    <t>Minimum FTE</t>
  </si>
  <si>
    <t>I/T FTE</t>
  </si>
  <si>
    <t>For RUNS &gt; 1,250</t>
  </si>
  <si>
    <t>For RUNS &lt; 1,250</t>
  </si>
  <si>
    <t>+FTE BASE</t>
  </si>
  <si>
    <t>FTE / 1000 RUNS</t>
  </si>
  <si>
    <t>BREAKPOINT</t>
  </si>
  <si>
    <t>FTE PER 1,000 EMS RUNS</t>
  </si>
  <si>
    <t>Default values are used for certain driving variables if local data is not available (see cells containing the word "unspecified").  A number of internal comparisons are made to determine the appropriate default value.  See the notes linked to many cells for more details.
EMS ratios (see blue cells) are converted from the original EMS module using statistical analysis of the staffing tables. The ratios were used to produce the FTE charts in this package. 
Avg. FTE / Ambulance determines the number ambulances needed based on total FTE projected by the module.</t>
  </si>
  <si>
    <t>Resultant Ratios:  FTE Per 1,000 and $ Per Capita</t>
  </si>
  <si>
    <t>For SqM &gt; 15,540</t>
  </si>
  <si>
    <t>TOTAL ANNUAL EMS PROJECTIONS</t>
  </si>
  <si>
    <t>For SqM &lt; 15,540</t>
  </si>
  <si>
    <t>$</t>
  </si>
  <si>
    <t>FTE/1000 SQK</t>
  </si>
  <si>
    <t>AMBULANCE</t>
  </si>
  <si>
    <t>@</t>
  </si>
  <si>
    <t>I/T+Purchased+Lease</t>
  </si>
  <si>
    <t>Other</t>
  </si>
  <si>
    <t xml:space="preserve">    SUPPORT Subtotal</t>
  </si>
  <si>
    <t>Avg. Cost per Purchased Run</t>
  </si>
  <si>
    <t>Ambulances</t>
  </si>
  <si>
    <t xml:space="preserve">    VEHICLE Subtotal</t>
  </si>
  <si>
    <t>FTE PER 1,000 SQ KM</t>
  </si>
  <si>
    <t>NA</t>
  </si>
  <si>
    <t>CALCULATED PURCHASED %</t>
  </si>
  <si>
    <t>$/Vehicle</t>
  </si>
  <si>
    <t>Vehicles</t>
  </si>
  <si>
    <t>#</t>
  </si>
  <si>
    <t>ANNUAL LEASE $ EACH</t>
  </si>
  <si>
    <t>.</t>
  </si>
  <si>
    <t>ANNUAL PURCHASED RUNS</t>
  </si>
  <si>
    <t>For Pop. &gt; 3,250</t>
  </si>
  <si>
    <t>PURCHASED MULTIPLIER</t>
  </si>
  <si>
    <t>PURCHASED</t>
  </si>
  <si>
    <t xml:space="preserve">   PURCHASED Subtotal</t>
  </si>
  <si>
    <t>For Pop. &lt; 3,250</t>
  </si>
  <si>
    <t>% EMS PURCHASED</t>
  </si>
  <si>
    <t>$/Run</t>
  </si>
  <si>
    <t>RUNS</t>
  </si>
  <si>
    <t xml:space="preserve"> </t>
  </si>
  <si>
    <t>AVG. PURCHASED $ / RUN</t>
  </si>
  <si>
    <t>+ FTE BASE</t>
  </si>
  <si>
    <t>FTE / 1000 POP</t>
  </si>
  <si>
    <t>PURCHASED EMS</t>
  </si>
  <si>
    <t xml:space="preserve">   PURCHASED EMS SERVICE</t>
  </si>
  <si>
    <t>I/T</t>
  </si>
  <si>
    <t xml:space="preserve">  I/T Subtotal</t>
  </si>
  <si>
    <t>FTE PER 1,000 POPULATION</t>
  </si>
  <si>
    <t>ANNUAL I/T RUNS</t>
  </si>
  <si>
    <t>SQ. KILOMETERS SERVED</t>
  </si>
  <si>
    <t>IHS AVG RUNS / 1,000</t>
  </si>
  <si>
    <t>% OF RUNS BY I/T</t>
  </si>
  <si>
    <t xml:space="preserve">   I/T EMS SERVICE</t>
  </si>
  <si>
    <t>RUNS DEFAULT RATE</t>
  </si>
  <si>
    <t>I/T MULTIPLIER</t>
  </si>
  <si>
    <t>I/T EMS</t>
  </si>
  <si>
    <t>I/T Service Threshold</t>
  </si>
  <si>
    <t>% TOTAL RUNS PURCHASED</t>
  </si>
  <si>
    <t>MINIMUM I/T POPULATION</t>
  </si>
  <si>
    <t>POPULATION (required)</t>
  </si>
  <si>
    <t>USED</t>
  </si>
  <si>
    <t>Default</t>
  </si>
  <si>
    <t>Numeric?</t>
  </si>
  <si>
    <t>INPUT</t>
  </si>
  <si>
    <t>EMS RATIOS</t>
  </si>
  <si>
    <t>DATA FILTERS &amp; DEFAULTS</t>
  </si>
  <si>
    <t>Cost</t>
  </si>
  <si>
    <t>$ Each</t>
  </si>
  <si>
    <t>FILTERED VALUES</t>
  </si>
  <si>
    <t>INPUT DATA</t>
  </si>
  <si>
    <t>7 Factors In EMS Model
Input data for Service Unit</t>
  </si>
  <si>
    <t>EMS MODEL PARAMETERS ARE PRESET</t>
  </si>
  <si>
    <t>EMERGENCY MEDICAL SERVICES RRMNA MODEL 7.1</t>
  </si>
  <si>
    <t>EMS</t>
  </si>
  <si>
    <t>HSP Project Name:</t>
  </si>
  <si>
    <t>RRM EMS WORKLOAD</t>
  </si>
  <si>
    <t>EMS Calcs:</t>
  </si>
  <si>
    <t>Population:</t>
  </si>
  <si>
    <t>I/T Multiplier</t>
  </si>
  <si>
    <t>Raw FTE Projections</t>
  </si>
  <si>
    <t>Annual I/T Runs</t>
  </si>
  <si>
    <t>Override I/T Runs</t>
  </si>
  <si>
    <t>Staff By Category (Rounded)</t>
  </si>
  <si>
    <t>Supervisors</t>
  </si>
  <si>
    <t>1b.</t>
  </si>
  <si>
    <t xml:space="preserve">Total Specialty Visits (TSVs) for Specialty Care: </t>
  </si>
  <si>
    <t>1c.</t>
  </si>
  <si>
    <t>Staffing</t>
  </si>
  <si>
    <t>Administrator, Health Center</t>
  </si>
  <si>
    <t>Asst. Director of Nursing</t>
  </si>
  <si>
    <t>Budget Analyst</t>
  </si>
  <si>
    <t>Financial Manager</t>
  </si>
  <si>
    <t>Personnel Clerk</t>
  </si>
  <si>
    <t>Personnel Director/Officer</t>
  </si>
  <si>
    <t>Receptionist</t>
  </si>
  <si>
    <t>Assistant Site Manager</t>
  </si>
  <si>
    <t>Network Application Technician</t>
  </si>
  <si>
    <t>RPMS Application Technician</t>
  </si>
  <si>
    <t>Site Manager</t>
  </si>
  <si>
    <t>Software Technician</t>
  </si>
  <si>
    <t>Pharmacy</t>
  </si>
  <si>
    <t>Facility Support</t>
  </si>
  <si>
    <t>Occupational Therapist</t>
  </si>
  <si>
    <t>SECURITY</t>
  </si>
  <si>
    <t>Security Staff</t>
  </si>
  <si>
    <t>OPVs</t>
  </si>
  <si>
    <t>BED-DAYS</t>
  </si>
  <si>
    <t>Parking Spots</t>
  </si>
  <si>
    <t>Quarters</t>
  </si>
  <si>
    <t>CLERICAL POOL</t>
  </si>
  <si>
    <t>Clerical Pool for Lab Pharmacy &amp; Imaging</t>
  </si>
  <si>
    <t>Clerical Pool for Facility Support</t>
  </si>
  <si>
    <t>Parking Spaces</t>
  </si>
  <si>
    <t>spaces</t>
  </si>
  <si>
    <t>PCPV &amp; TSV</t>
  </si>
  <si>
    <t>Area of Grounds (Override):</t>
  </si>
  <si>
    <t>GS-9</t>
  </si>
  <si>
    <t>GS-10</t>
  </si>
  <si>
    <t>GS-11</t>
  </si>
  <si>
    <t>GS-12</t>
  </si>
  <si>
    <t>GS-13</t>
  </si>
  <si>
    <t>GS-14</t>
  </si>
  <si>
    <t>GS-15</t>
  </si>
  <si>
    <t>GS-1</t>
  </si>
  <si>
    <t>GS-2</t>
  </si>
  <si>
    <t>GS-3</t>
  </si>
  <si>
    <t>GS-4</t>
  </si>
  <si>
    <t>GS-5</t>
  </si>
  <si>
    <t>GS-6</t>
  </si>
  <si>
    <t>GS-7</t>
  </si>
  <si>
    <t>GS-8</t>
  </si>
  <si>
    <t xml:space="preserve">Physical Therapy Visits: </t>
  </si>
  <si>
    <t>24-Hour Security?</t>
  </si>
  <si>
    <t>Meters Squared</t>
  </si>
  <si>
    <t>Doctor Scale</t>
  </si>
  <si>
    <t>Nurse Scale</t>
  </si>
  <si>
    <t>Areas</t>
  </si>
  <si>
    <t>Alaska</t>
  </si>
  <si>
    <t>Albuquerque</t>
  </si>
  <si>
    <t>Bemidji</t>
  </si>
  <si>
    <t>Billings</t>
  </si>
  <si>
    <t>California</t>
  </si>
  <si>
    <t>Nashville</t>
  </si>
  <si>
    <t>Navajo</t>
  </si>
  <si>
    <t>Oklahoma City</t>
  </si>
  <si>
    <t>Phoenix</t>
  </si>
  <si>
    <t>Portland</t>
  </si>
  <si>
    <t>Tucson</t>
  </si>
  <si>
    <t>Area</t>
  </si>
  <si>
    <t>Dentist Scale</t>
  </si>
  <si>
    <t>Financial Mgt</t>
  </si>
  <si>
    <t>Housekeeping</t>
  </si>
  <si>
    <t>Fac Maint</t>
  </si>
  <si>
    <t>Food Svs</t>
  </si>
  <si>
    <t>Fringe:</t>
  </si>
  <si>
    <t>General GS Scale (Step 5)</t>
  </si>
  <si>
    <t>PT Visits</t>
  </si>
  <si>
    <t>Table A</t>
  </si>
  <si>
    <t>Table B</t>
  </si>
  <si>
    <t>Table C</t>
  </si>
  <si>
    <t>Total RRM Requirement</t>
  </si>
  <si>
    <t xml:space="preserve">Total Staffing Needs </t>
  </si>
  <si>
    <t>Add'l FTE needed to Achieve</t>
  </si>
  <si>
    <t>at the 85% level of RRM</t>
  </si>
  <si>
    <t>85% level of RRM</t>
  </si>
  <si>
    <t>Staffing Requirements</t>
  </si>
  <si>
    <t>Total Staffing</t>
  </si>
  <si>
    <t>Current</t>
  </si>
  <si>
    <t xml:space="preserve">Total </t>
  </si>
  <si>
    <t>Requirement</t>
  </si>
  <si>
    <t>Available</t>
  </si>
  <si>
    <t>Salary</t>
  </si>
  <si>
    <t>Utilities</t>
  </si>
  <si>
    <t>Budget Activity</t>
  </si>
  <si>
    <t>Operating</t>
  </si>
  <si>
    <t>Transfer</t>
  </si>
  <si>
    <t>Total</t>
  </si>
  <si>
    <t>Staffing $</t>
  </si>
  <si>
    <t>Operating $</t>
  </si>
  <si>
    <t>Hospital &amp; Health Clinics</t>
  </si>
  <si>
    <t>Dental Health</t>
  </si>
  <si>
    <t>Facilities Support</t>
  </si>
  <si>
    <t>Environment Hlth Support</t>
  </si>
  <si>
    <t>Table D</t>
  </si>
  <si>
    <t>Table E</t>
  </si>
  <si>
    <t xml:space="preserve">Total Requested </t>
  </si>
  <si>
    <t>Congressional Justification</t>
  </si>
  <si>
    <t>Remainder of FTEs Needed</t>
  </si>
  <si>
    <t>to Achieve 85% level of RRM</t>
  </si>
  <si>
    <t>Environmental Hlth Support</t>
  </si>
  <si>
    <t>AMBULATORY NUTRITION SERVICES</t>
  </si>
  <si>
    <t>Registered Dietician</t>
  </si>
  <si>
    <t>Imaging Technologist (Hospital)</t>
  </si>
  <si>
    <t>INFORMATION TECHNOLOGY</t>
  </si>
  <si>
    <t>Medical Technologist, Emergency Dept</t>
  </si>
  <si>
    <t>ER 1,2 or 3</t>
  </si>
  <si>
    <t>Medical Technologist</t>
  </si>
  <si>
    <t>Pharmacy Billing Specialist</t>
  </si>
  <si>
    <t>TELEMEDICINE</t>
  </si>
  <si>
    <t>Telemedicine Coordinator</t>
  </si>
  <si>
    <t>OPVs above 10K</t>
  </si>
  <si>
    <t>Alternative Rural Healthcare Facility</t>
  </si>
  <si>
    <t>Alt Rural? Flag =</t>
  </si>
  <si>
    <t>Alt Rur ADPL</t>
  </si>
  <si>
    <t>Alt Rural</t>
  </si>
  <si>
    <t>Salary Estimate Budget Year</t>
  </si>
  <si>
    <t>Year</t>
  </si>
  <si>
    <t>Alternative Rural Healthcare Facility w/ Birthing</t>
  </si>
  <si>
    <t>OPVs to H.C. and A.R.</t>
  </si>
  <si>
    <t xml:space="preserve">Alt Rural ADPL = </t>
  </si>
  <si>
    <t>H&amp;C</t>
  </si>
  <si>
    <t>PHN</t>
  </si>
  <si>
    <t>EHS</t>
  </si>
  <si>
    <t>Emergency Room Level:</t>
  </si>
  <si>
    <t>HSP Building Summary Area:</t>
  </si>
  <si>
    <t>Ambulatory Nutrition Support Staff</t>
  </si>
  <si>
    <t>Dietician Director</t>
  </si>
  <si>
    <t>Hosp or Alt Rural</t>
  </si>
  <si>
    <t>Cook</t>
  </si>
  <si>
    <t>Food Service Worker</t>
  </si>
  <si>
    <t>Food Service Clerical</t>
  </si>
  <si>
    <t>Clinical Registered Dietician</t>
  </si>
  <si>
    <t>Hospital ADPL</t>
  </si>
  <si>
    <t>PROPERTY AND SUPPLY</t>
  </si>
  <si>
    <t>HEALTH INFORMATION MANAGEMENT</t>
  </si>
  <si>
    <t>Health Information Management Administrator</t>
  </si>
  <si>
    <t>Health Information Management Technician</t>
  </si>
  <si>
    <t>Health Information Management Technician (CHA/P)</t>
  </si>
  <si>
    <t xml:space="preserve">  </t>
  </si>
  <si>
    <t>Wellness Center</t>
  </si>
  <si>
    <t>Wellness Center Weekly Operating Hours</t>
  </si>
  <si>
    <t>Physical Therapist Supervisor</t>
  </si>
  <si>
    <t>ED2</t>
  </si>
  <si>
    <t>ED3</t>
  </si>
  <si>
    <t>ED4</t>
  </si>
  <si>
    <t>Clinical Applications Coordinator</t>
  </si>
  <si>
    <t>Satellite</t>
  </si>
  <si>
    <t>Schools</t>
  </si>
  <si>
    <t>Head Starts</t>
  </si>
  <si>
    <t>Juvenile Detention</t>
  </si>
  <si>
    <t>YRTC</t>
  </si>
  <si>
    <t>Nursing Home</t>
  </si>
  <si>
    <t>Other Facility</t>
  </si>
  <si>
    <t>Health Center or Alt Rural</t>
  </si>
  <si>
    <t>Dietetic Staff/Food Service Manager</t>
  </si>
  <si>
    <t>Dietetic Technician</t>
  </si>
  <si>
    <t>Clerk/Physical Therapy Aide</t>
  </si>
  <si>
    <t>Physical Therapist/Licensed PT Asst</t>
  </si>
  <si>
    <t>Food Svs Scale</t>
  </si>
  <si>
    <t>Wage Grade 3</t>
  </si>
  <si>
    <t>Wage Grade 5</t>
  </si>
  <si>
    <t>Wage Grade 7</t>
  </si>
  <si>
    <t>Clerical Pool for Audiology &amp; Eye Care</t>
  </si>
  <si>
    <t xml:space="preserve">Health Center? Flag = </t>
  </si>
  <si>
    <t>RCIS Data Entry Clerk</t>
  </si>
  <si>
    <t>Does the Facility use RCIS?</t>
  </si>
  <si>
    <t>RCIS</t>
  </si>
  <si>
    <t>UFMS Clerk</t>
  </si>
  <si>
    <t>ED Medical Director</t>
  </si>
  <si>
    <t>ED RN Supervisor</t>
  </si>
  <si>
    <t>EMERGENCY DEPATMENT/AFTER HOURS</t>
  </si>
  <si>
    <t>ED RN</t>
  </si>
  <si>
    <t>ED Medical Clerks</t>
  </si>
  <si>
    <t>ED Medical Assistant</t>
  </si>
  <si>
    <t>ED Nurse Trauma Coordinator</t>
  </si>
  <si>
    <t>Emergency Department Visits:</t>
  </si>
  <si>
    <t>EDV</t>
  </si>
  <si>
    <t>ED</t>
  </si>
  <si>
    <t>Great Plains</t>
  </si>
  <si>
    <t>Occupation Safety and Health Specialist</t>
  </si>
  <si>
    <t>OCCUPATION AND SAFETY</t>
  </si>
  <si>
    <t>Hospitals</t>
  </si>
  <si>
    <t>Table of Contents</t>
  </si>
  <si>
    <t>Fac INFO</t>
  </si>
  <si>
    <t>OutPt WKLD</t>
  </si>
  <si>
    <t>AMB-FTE</t>
  </si>
  <si>
    <t>OPS-FTE</t>
  </si>
  <si>
    <t>COMM-FTE</t>
  </si>
  <si>
    <t>EMS Worksheet</t>
  </si>
  <si>
    <t>INPAT&amp;ANCILLARY-FTE</t>
  </si>
  <si>
    <t>FTE List</t>
  </si>
  <si>
    <t>Pay Scales</t>
  </si>
  <si>
    <t>Budget Calc</t>
  </si>
  <si>
    <t>HSP Crosswalk</t>
  </si>
  <si>
    <t>INATIENT WORKLOAD</t>
  </si>
  <si>
    <t>Disaster Mgt</t>
  </si>
  <si>
    <t>Occupation Safety:</t>
  </si>
  <si>
    <t>Disaster Management</t>
  </si>
  <si>
    <t>Security Management</t>
  </si>
  <si>
    <t>Security Mgt</t>
  </si>
  <si>
    <t>Accreditation</t>
  </si>
  <si>
    <t>Satellite Support</t>
  </si>
  <si>
    <t>None Selected</t>
  </si>
  <si>
    <t>Alt-Rural Fixed Supervisory</t>
  </si>
  <si>
    <t>Alt-Rural Registered Nurse</t>
  </si>
  <si>
    <t>Alt-Rural Licensed Practial Nurse</t>
  </si>
  <si>
    <t>Alt-Rural Health Technician</t>
  </si>
  <si>
    <t>Alt-Rural Clerical Support</t>
  </si>
  <si>
    <t>Alt Rural ADPL</t>
  </si>
  <si>
    <t>Alt Rural ADPL BTW 4&amp;10</t>
  </si>
  <si>
    <t>MED, SURG, PEDS Bed Days</t>
  </si>
  <si>
    <t>Inpatient Thresholds</t>
  </si>
  <si>
    <t>Meets Rural Inpatient Threshold?</t>
  </si>
  <si>
    <t>Meets Non-Rural Inpatient Threshold?</t>
  </si>
  <si>
    <t>total ADPL 7 or 14  or 2600 patient days or 5150 patient days</t>
  </si>
  <si>
    <t>Alt Rural Birthing?</t>
  </si>
  <si>
    <t>Techs</t>
  </si>
  <si>
    <t>Transport/Lift</t>
  </si>
  <si>
    <t>Certified Nurse Assistant</t>
  </si>
  <si>
    <t>Med Surg Unit</t>
  </si>
  <si>
    <t>Multifunction Registered Nurse</t>
  </si>
  <si>
    <t>RRM INPATIENT WORKLOAD</t>
  </si>
  <si>
    <t># of PRC PURCHASE ORDERS</t>
  </si>
  <si>
    <t>PRC Manager</t>
  </si>
  <si>
    <t>PRC Staff</t>
  </si>
  <si>
    <t>Additional PRC</t>
  </si>
  <si>
    <t>PODIATRY</t>
  </si>
  <si>
    <t>Podiatrist</t>
  </si>
  <si>
    <t>Podiatry Assistant</t>
  </si>
  <si>
    <t>Podiatry Nurse</t>
  </si>
  <si>
    <t>Wound Care Specalist</t>
  </si>
  <si>
    <t>Podiatrists</t>
  </si>
  <si>
    <t>PURCHASED/REFERRED CARE</t>
  </si>
  <si>
    <t>RRM ADJUSTMENTS - ANCILLARY</t>
  </si>
  <si>
    <t>RRM ADJUSTMENTS - ADMINISTRATION</t>
  </si>
  <si>
    <t>RRM ADJUSTMENTS - AMBULATORY</t>
  </si>
  <si>
    <t>Ambulatory Adjustment 2</t>
  </si>
  <si>
    <t>Ambulatory Adjustment 3</t>
  </si>
  <si>
    <t>Ambulatory Adjustment 4</t>
  </si>
  <si>
    <t>Ambulatory Adjustment 5</t>
  </si>
  <si>
    <t>Ambulatory Adjustment 6</t>
  </si>
  <si>
    <t>INP_Adjustment 2</t>
  </si>
  <si>
    <t>INP_Adjustment 3</t>
  </si>
  <si>
    <t>INP_Adjustment 4</t>
  </si>
  <si>
    <t>INP_Adjustment 5</t>
  </si>
  <si>
    <t>INP_Adjustment 6</t>
  </si>
  <si>
    <t>INP_Adjustment 7</t>
  </si>
  <si>
    <t>INP_Adjustment 8</t>
  </si>
  <si>
    <t>INP_Adjustment 9</t>
  </si>
  <si>
    <t>ANCIL_Adjustment 1</t>
  </si>
  <si>
    <t>ANCIL_Adjustment 2</t>
  </si>
  <si>
    <t>ANCIL_Adjustment 3</t>
  </si>
  <si>
    <t>ANCIL_Adjustment 4</t>
  </si>
  <si>
    <t>Stability</t>
  </si>
  <si>
    <t>Highly Complex</t>
  </si>
  <si>
    <t>Vulnerability</t>
  </si>
  <si>
    <t>Resiliency</t>
  </si>
  <si>
    <t>1d.</t>
  </si>
  <si>
    <t>Podiatry Provider Visits (POPVs)</t>
  </si>
  <si>
    <t>Pharmacist, Supervisor</t>
  </si>
  <si>
    <t>Pharmacy Prescriptions (Prescriptions Per Day)</t>
  </si>
  <si>
    <t>Pharmacy-Driven Clinic Visits/Day</t>
  </si>
  <si>
    <t>Drive Through Pharmacy?</t>
  </si>
  <si>
    <t>24/7 ED Coverage Pharmacy?</t>
  </si>
  <si>
    <t>Override Prescriptions</t>
  </si>
  <si>
    <t>Pharmacist Informaticist</t>
  </si>
  <si>
    <t>Outpatient Facility</t>
  </si>
  <si>
    <t>Extended Hours</t>
  </si>
  <si>
    <t>Prescriptions</t>
  </si>
  <si>
    <t>Pharmacists</t>
  </si>
  <si>
    <t>Pharmacist Supervisor</t>
  </si>
  <si>
    <t>Var</t>
  </si>
  <si>
    <t>Outpatient</t>
  </si>
  <si>
    <t>Fixed</t>
  </si>
  <si>
    <t>ER 24/7</t>
  </si>
  <si>
    <t>Ext Hrs</t>
  </si>
  <si>
    <t>X</t>
  </si>
  <si>
    <t>Extended Pharmacy Hours for Ambulatory  Care</t>
  </si>
  <si>
    <t>Pharmacist Technician</t>
  </si>
  <si>
    <t>Pharmacist, Alt Rural</t>
  </si>
  <si>
    <t>Pharmacist, ER 24/7</t>
  </si>
  <si>
    <t>Alt Rural Facility</t>
  </si>
  <si>
    <t>Pharmacist, Supervisor, Inpatient</t>
  </si>
  <si>
    <t>Pharmacist, Inpatient</t>
  </si>
  <si>
    <t>Pharmacist Technician, Inpatient</t>
  </si>
  <si>
    <t>Pharmacy Aide</t>
  </si>
  <si>
    <t xml:space="preserve">  OEHE STAFF</t>
  </si>
  <si>
    <t>Emergency Room</t>
  </si>
  <si>
    <t>Point-of-Sale Electronic Claims</t>
  </si>
  <si>
    <t>Pharmacist, Clinical Visits</t>
  </si>
  <si>
    <t>Pharmasist, Backup Coverage</t>
  </si>
  <si>
    <t>Driving time to nearest ER:</t>
  </si>
  <si>
    <t>&gt; 90 Minutes</t>
  </si>
  <si>
    <t>PHN School Service</t>
  </si>
  <si>
    <t>Part Time</t>
  </si>
  <si>
    <t>Full Time</t>
  </si>
  <si>
    <t>None</t>
  </si>
  <si>
    <t>Public Health Nursing School Services?</t>
  </si>
  <si>
    <t>NONE</t>
  </si>
  <si>
    <t>Rehab Clerks</t>
  </si>
  <si>
    <t>OT Supervisor</t>
  </si>
  <si>
    <t>OT Tech</t>
  </si>
  <si>
    <t>SLP Supervisor</t>
  </si>
  <si>
    <t>SLP Pathologist</t>
  </si>
  <si>
    <t>OT Visits</t>
  </si>
  <si>
    <t>SLP Visits</t>
  </si>
  <si>
    <t>Department Staff</t>
  </si>
  <si>
    <t>Housekeeping Clerk</t>
  </si>
  <si>
    <t>Housekeeping Supervisor</t>
  </si>
  <si>
    <t>Security Supervisor</t>
  </si>
  <si>
    <t>Security Admin Assistant</t>
  </si>
  <si>
    <t>1 per Security Staff &gt;=10, deducted from Staff</t>
  </si>
  <si>
    <t>Accounting Clerk</t>
  </si>
  <si>
    <t>BO Billing Clerks</t>
  </si>
  <si>
    <t>Trade</t>
  </si>
  <si>
    <t>Non-Hospital</t>
  </si>
  <si>
    <t>Health Center - Executive Staff</t>
  </si>
  <si>
    <t>Utilization Review Clerk</t>
  </si>
  <si>
    <t>1 per PRC Staff &gt;=2, deducted from Staff</t>
  </si>
  <si>
    <t>IT Security Person</t>
  </si>
  <si>
    <t>Site Managers</t>
  </si>
  <si>
    <t>One, taken from Site Managers &gt; 1, deducted from total</t>
  </si>
  <si>
    <t>Bookkeeper/Accountant</t>
  </si>
  <si>
    <t>Billing/Accounts Receivable Clerk</t>
  </si>
  <si>
    <t>ASA</t>
  </si>
  <si>
    <t>Alcohol/Substance Abuse</t>
  </si>
  <si>
    <t>Isleta Del Sur</t>
  </si>
  <si>
    <t>Dental Health Aide Therapist (DHAT)</t>
  </si>
  <si>
    <t>Deputy Dental Chief</t>
  </si>
  <si>
    <t>Dental Staff</t>
  </si>
  <si>
    <t>Dental Assistant Supervisor</t>
  </si>
  <si>
    <t>Dental Assistants</t>
  </si>
  <si>
    <t>Indirect/General Supervision</t>
  </si>
  <si>
    <t>Direct Supervision</t>
  </si>
  <si>
    <t>Dental Health Aide Therapist (DHAT) Use</t>
  </si>
  <si>
    <t>Infection Preventionist</t>
  </si>
  <si>
    <t>Hospital fixed</t>
  </si>
  <si>
    <t>Hospital ADC</t>
  </si>
  <si>
    <t>Hospital OPV</t>
  </si>
  <si>
    <t>Satellite Facility</t>
  </si>
  <si>
    <t>HC w/ Satellites</t>
  </si>
  <si>
    <t>Pod OPV</t>
  </si>
  <si>
    <t>Occupational Therapy Visits</t>
  </si>
  <si>
    <t>Speech Language Pathology (SLP) Visits</t>
  </si>
  <si>
    <t>1e.</t>
  </si>
  <si>
    <t>1f.</t>
  </si>
  <si>
    <t>Number of Satellite Facilities Supported</t>
  </si>
  <si>
    <t>Total Number of Satellite Facility Outpatient Visits</t>
  </si>
  <si>
    <t>INFECTION PREVENTION</t>
  </si>
  <si>
    <t>Metric (m²):</t>
  </si>
  <si>
    <t>US Units (ft²):</t>
  </si>
  <si>
    <t>Building Area</t>
  </si>
  <si>
    <t>Quarters Area</t>
  </si>
  <si>
    <t>Total Area</t>
  </si>
  <si>
    <t>Grounds Area</t>
  </si>
  <si>
    <t>% Total EMS Runs Purchased</t>
  </si>
  <si>
    <t>&gt; 60 Minutes</t>
  </si>
  <si>
    <t>&lt;= 60 Minutes</t>
  </si>
  <si>
    <t>PUBLIC HEALTH NUTRITION</t>
  </si>
  <si>
    <t>PUBLIC HEALTH NURSING</t>
  </si>
  <si>
    <t>HEALTH EDUCATION</t>
  </si>
  <si>
    <t>260</t>
  </si>
  <si>
    <t>258</t>
  </si>
  <si>
    <t>412</t>
  </si>
  <si>
    <t>280</t>
  </si>
  <si>
    <t>OFFICE OF ENVIRONMENTAL HEALTH &amp; ENGINEERING</t>
  </si>
  <si>
    <t>249</t>
  </si>
  <si>
    <t>250</t>
  </si>
  <si>
    <t>248</t>
  </si>
  <si>
    <t>251</t>
  </si>
  <si>
    <t>247</t>
  </si>
  <si>
    <t>246</t>
  </si>
  <si>
    <t>WELLNESS CENTER</t>
  </si>
  <si>
    <t>328</t>
  </si>
  <si>
    <t>324</t>
  </si>
  <si>
    <t>327</t>
  </si>
  <si>
    <t>326</t>
  </si>
  <si>
    <t>BEHAVIORAL HEALTH SERVICES</t>
  </si>
  <si>
    <t>BEHAVIORAL HEALTH</t>
  </si>
  <si>
    <t>SOCIAL SERVICES</t>
  </si>
  <si>
    <t>235</t>
  </si>
  <si>
    <t>236</t>
  </si>
  <si>
    <t>ALCOHOL AND SUBSTANCE ABUSE</t>
  </si>
  <si>
    <t>237</t>
  </si>
  <si>
    <t>238</t>
  </si>
  <si>
    <t>ADMINISTRATIVE SUPPORT</t>
  </si>
  <si>
    <t>239</t>
  </si>
  <si>
    <t>240</t>
  </si>
  <si>
    <t>229</t>
  </si>
  <si>
    <t>RRM ADJUSTMENTS - COMMUNITY HEALTH</t>
  </si>
  <si>
    <t>RRM Category</t>
  </si>
  <si>
    <t>PUBLIC/COMMUNITY HEALTH</t>
  </si>
  <si>
    <t>PHN/RD</t>
  </si>
  <si>
    <t>UPOP</t>
  </si>
  <si>
    <t>Nutritionist Technician</t>
  </si>
  <si>
    <t>PNT Staff</t>
  </si>
  <si>
    <t>Clerk/Secretary</t>
  </si>
  <si>
    <t>Public Health Nurse Manager</t>
  </si>
  <si>
    <t>Public Health Nurse</t>
  </si>
  <si>
    <t>Public Health Nurse - School</t>
  </si>
  <si>
    <t>Public Health Nurse - Discharge Planning</t>
  </si>
  <si>
    <t>POP</t>
  </si>
  <si>
    <t>286</t>
  </si>
  <si>
    <t>Public Health Nurse - Specialty Clinic</t>
  </si>
  <si>
    <t>Weekly 1 hr clinic</t>
  </si>
  <si>
    <t>285</t>
  </si>
  <si>
    <t>Public Health Nurse - CHR Supervision</t>
  </si>
  <si>
    <t>CHR Staff</t>
  </si>
  <si>
    <t>287</t>
  </si>
  <si>
    <t>284</t>
  </si>
  <si>
    <t>Community/Public Health Educator Staff</t>
  </si>
  <si>
    <t>283</t>
  </si>
  <si>
    <t>282</t>
  </si>
  <si>
    <t>281</t>
  </si>
  <si>
    <t>Community Health Supervisor</t>
  </si>
  <si>
    <t>HE Staff</t>
  </si>
  <si>
    <t>Community Health Clerk/Typist - Secretary</t>
  </si>
  <si>
    <t>429</t>
  </si>
  <si>
    <t>COMMUNITY HEALTH REPRESENTATIVE</t>
  </si>
  <si>
    <t>Community Health Representative</t>
  </si>
  <si>
    <t>User Population</t>
  </si>
  <si>
    <t>CHRs</t>
  </si>
  <si>
    <t>259</t>
  </si>
  <si>
    <t>Behavioral Health Staff</t>
  </si>
  <si>
    <t>Behavioral Health Supervisor</t>
  </si>
  <si>
    <t>BH Staff</t>
  </si>
  <si>
    <t>1 per Staff &gt;=1, deducted from Staff</t>
  </si>
  <si>
    <t>1 per Staff &gt;=5, deducted from Staff</t>
  </si>
  <si>
    <t>MSW Counselor Inpatient Only</t>
  </si>
  <si>
    <t>Social Service Staff</t>
  </si>
  <si>
    <t>ASA Counselor</t>
  </si>
  <si>
    <t>ASA Therapist</t>
  </si>
  <si>
    <t>232</t>
  </si>
  <si>
    <t>234</t>
  </si>
  <si>
    <t>Case Manager</t>
  </si>
  <si>
    <t>Management Analysis</t>
  </si>
  <si>
    <t>Clerical Pool for MH &amp; SS</t>
  </si>
  <si>
    <t>Engineer</t>
  </si>
  <si>
    <t xml:space="preserve">OEHE RRM </t>
  </si>
  <si>
    <t>Engineering Technician</t>
  </si>
  <si>
    <t>Sanitation Engineer Supervisor</t>
  </si>
  <si>
    <t>Sanitation Clerk/Typist</t>
  </si>
  <si>
    <t>EH Specialist</t>
  </si>
  <si>
    <t>EH Supervisor</t>
  </si>
  <si>
    <t>EH Clerk/Typist</t>
  </si>
  <si>
    <t>Wellness Director</t>
  </si>
  <si>
    <t>Technician</t>
  </si>
  <si>
    <t>Administrative Assistant</t>
  </si>
  <si>
    <t>Deputy Director</t>
  </si>
  <si>
    <t>CM_Adjustment 1</t>
  </si>
  <si>
    <t>CM_Adjustment 2</t>
  </si>
  <si>
    <t>CM_Adjustment 3</t>
  </si>
  <si>
    <t>325</t>
  </si>
  <si>
    <t>CM_Adjustment 4</t>
  </si>
  <si>
    <t>CM_Adjustment 5</t>
  </si>
  <si>
    <t>CM_Adjustment 6</t>
  </si>
  <si>
    <t>CM_Adjustment 7</t>
  </si>
  <si>
    <t>CM_Adjustment 8</t>
  </si>
  <si>
    <t>CM_Adjustment 9</t>
  </si>
  <si>
    <t>CM_Adjustment 10</t>
  </si>
  <si>
    <t>CM_Adjustment 11</t>
  </si>
  <si>
    <t>CM_Adjustment 12</t>
  </si>
  <si>
    <t>COMMUNITY &amp; BEHAVIORAL HEALTH SVCS. Staff</t>
  </si>
  <si>
    <t>RRM NEEDS STAFFING SUMMARY</t>
  </si>
  <si>
    <t xml:space="preserve">  RRM Staffing Category</t>
  </si>
  <si>
    <t>prefix with IP</t>
  </si>
  <si>
    <t>* PC</t>
  </si>
  <si>
    <t>SURGEONS</t>
  </si>
  <si>
    <t>* SC</t>
  </si>
  <si>
    <t>* Surgery</t>
  </si>
  <si>
    <t>NURSING</t>
  </si>
  <si>
    <t>* AC</t>
  </si>
  <si>
    <t>CO-1</t>
  </si>
  <si>
    <t>CO-2</t>
  </si>
  <si>
    <t>CO-3</t>
  </si>
  <si>
    <t>CO-4</t>
  </si>
  <si>
    <t>CO-5</t>
  </si>
  <si>
    <t>CO-6</t>
  </si>
  <si>
    <t>CO-7</t>
  </si>
  <si>
    <t>CO-8</t>
  </si>
  <si>
    <t>* LD</t>
  </si>
  <si>
    <t>CO-9</t>
  </si>
  <si>
    <t>* IC</t>
  </si>
  <si>
    <t>* surgery</t>
  </si>
  <si>
    <t>*psych</t>
  </si>
  <si>
    <t>INPATIENT ADJUSTMENT(S)</t>
  </si>
  <si>
    <t>Subtotal Inpatient Services</t>
  </si>
  <si>
    <t>AMBULATORY CARE</t>
  </si>
  <si>
    <t>EMERGENCY</t>
  </si>
  <si>
    <t>* emergency</t>
  </si>
  <si>
    <t>AMBULATORY PHYSICIAN</t>
  </si>
  <si>
    <t>* primary care</t>
  </si>
  <si>
    <t>* specialty care</t>
  </si>
  <si>
    <t>* eye care</t>
  </si>
  <si>
    <t>* audiology</t>
  </si>
  <si>
    <t>* physical therapy</t>
  </si>
  <si>
    <t>* template staffing - dental care</t>
  </si>
  <si>
    <t>* template staffing - Podiatric care</t>
  </si>
  <si>
    <t>AMBULATORY ADJUSTMENTS</t>
  </si>
  <si>
    <t>Subtotal Ambulatory Clinics</t>
  </si>
  <si>
    <t>CLINICAL SUPPORT (ANCILLARY SERVICES)</t>
  </si>
  <si>
    <t>* laboratory</t>
  </si>
  <si>
    <t>415,417</t>
  </si>
  <si>
    <t>* pharmacy</t>
  </si>
  <si>
    <t>62,416,419</t>
  </si>
  <si>
    <t>64,418</t>
  </si>
  <si>
    <t>DIAGNOSTIC IMAGING</t>
  </si>
  <si>
    <t>* Diagnostic Imaging</t>
  </si>
  <si>
    <t>* HIM</t>
  </si>
  <si>
    <t>* RT</t>
  </si>
  <si>
    <t>Lab, Pharm, &amp; Imaging</t>
  </si>
  <si>
    <t>Subtotal Ancillary Services</t>
  </si>
  <si>
    <t>COMMUNITY HEALTH</t>
  </si>
  <si>
    <t>Subtotal Community Health Services</t>
  </si>
  <si>
    <t>* SS - Medical supply</t>
  </si>
  <si>
    <t>Subtotal Administration</t>
  </si>
  <si>
    <t>FACILITY SUPPORT</t>
  </si>
  <si>
    <t>* SS - Housekeeping</t>
  </si>
  <si>
    <t>Wage Equiv.</t>
  </si>
  <si>
    <t>* FM</t>
  </si>
  <si>
    <t>* CE</t>
  </si>
  <si>
    <t>LAUNDRY</t>
  </si>
  <si>
    <t>FOOD SERVICES</t>
  </si>
  <si>
    <t>* dietary</t>
  </si>
  <si>
    <t>* PS</t>
  </si>
  <si>
    <t>Subtotal Facility Support</t>
  </si>
  <si>
    <t>GRAND TOTAL</t>
  </si>
  <si>
    <t>FACILITY SUPPORT &amp; ADMINISTRATION</t>
  </si>
  <si>
    <t>INP_Adjustment 1</t>
  </si>
  <si>
    <t>Admin_Adjustment 1</t>
  </si>
  <si>
    <t>Admin_Adjustment 2</t>
  </si>
  <si>
    <t>Admin_Adjustment 3</t>
  </si>
  <si>
    <t>Admin_Adjustment 4</t>
  </si>
  <si>
    <t>Ambulatory Adjustment 1</t>
  </si>
  <si>
    <t>RRM ADJUSTMENT(S) - INPATIENT</t>
  </si>
  <si>
    <t>* audiology &amp; eye care</t>
  </si>
  <si>
    <t>CHR Administrative</t>
  </si>
  <si>
    <t>EMERGENCY MEDICAL SERVICES (EMS)</t>
  </si>
  <si>
    <t>FAC SUPP_Adjustment 1</t>
  </si>
  <si>
    <t>FAC SUPP_Adjustment 2</t>
  </si>
  <si>
    <t>FAC SUPP_Adjustment 3</t>
  </si>
  <si>
    <t>FAC SUPP_Adjustment 4</t>
  </si>
  <si>
    <t>FAC SUPP_Adjustment 5</t>
  </si>
  <si>
    <t>FAC SUPP_Adjustment 6</t>
  </si>
  <si>
    <t>FAC SUPP_Adjustment 7</t>
  </si>
  <si>
    <t>FAC SUPP_Adjustment 8</t>
  </si>
  <si>
    <t>FAC SUPP_Adjustment 9</t>
  </si>
  <si>
    <t>TOTAL FACILITY SUPPORT</t>
  </si>
  <si>
    <t>FACILITY SUPPORT ADJUSTMENTS</t>
  </si>
  <si>
    <t>RRM ADJUSTMENTS - FACILITY SUPPORT</t>
  </si>
  <si>
    <t>EMT (Km2)</t>
  </si>
  <si>
    <t>The workload data will be generated from the Health Systems Planning Process (HSP)</t>
  </si>
  <si>
    <t>Proposed Project</t>
  </si>
  <si>
    <t>Health Center/Station</t>
  </si>
  <si>
    <t>RRM2007_20200312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</si>
</sst>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0.000"/>
    <numFmt numFmtId="166" formatCode="#,##0.0"/>
    <numFmt numFmtId="167" formatCode="0."/>
    <numFmt numFmtId="168" formatCode="_(* #,##0.0_);_(* \(#,##0.0\);_(* &quot;-&quot;??_);_(@_)"/>
    <numFmt numFmtId="169" formatCode="_(* #,##0_);_(* \(#,##0\);_(* &quot;-&quot;??_);_(@_)"/>
    <numFmt numFmtId="170" formatCode="_(&quot;$&quot;* #,##0.0_);_(&quot;$&quot;* \(#,##0.0\);_(&quot;$&quot;* &quot;-&quot;??_);_(@_)"/>
    <numFmt numFmtId="171" formatCode="_(&quot;$&quot;* #,##0_);_(&quot;$&quot;* \(#,##0\);_(&quot;$&quot;* &quot;-&quot;??_);_(@_)"/>
    <numFmt numFmtId="172" formatCode="[$-409]m/d/yy\ h:mm\ AM/PM;@"/>
    <numFmt numFmtId="173" formatCode="&quot;$&quot;#,##0"/>
    <numFmt numFmtId="174" formatCode="#."/>
    <numFmt numFmtId="175" formatCode="?."/>
    <numFmt numFmtId="176" formatCode="m/d/yyyy;@"/>
    <numFmt numFmtId="177" formatCode="0.0000"/>
  </numFmts>
  <fonts count="130">
    <font>
      <sz val="12"/>
      <name val="Times New Roman"/>
    </font>
    <font>
      <sz val="11"/>
      <color theme="1"/>
      <name val="Calibri"/>
      <family val="2"/>
      <scheme val="minor"/>
    </font>
    <font>
      <b/>
      <sz val="12"/>
      <name val="Times New Roman"/>
      <family val="1"/>
    </font>
    <font>
      <sz val="12"/>
      <name val="Times New Roman"/>
      <family val="1"/>
    </font>
    <font>
      <sz val="12"/>
      <name val="Arial"/>
      <family val="2"/>
    </font>
    <font>
      <b/>
      <sz val="12"/>
      <name val="Arial"/>
      <family val="2"/>
    </font>
    <font>
      <b/>
      <sz val="14"/>
      <name val="Arial"/>
      <family val="2"/>
    </font>
    <font>
      <b/>
      <sz val="12"/>
      <color indexed="14"/>
      <name val="Arial"/>
      <family val="2"/>
    </font>
    <font>
      <b/>
      <sz val="12"/>
      <color indexed="12"/>
      <name val="Arial"/>
      <family val="2"/>
    </font>
    <font>
      <vertAlign val="superscript"/>
      <sz val="12"/>
      <name val="Arial"/>
      <family val="2"/>
    </font>
    <font>
      <b/>
      <sz val="12"/>
      <name val="Arial"/>
      <family val="2"/>
    </font>
    <font>
      <b/>
      <sz val="12"/>
      <color indexed="22"/>
      <name val="Arial"/>
      <family val="2"/>
    </font>
    <font>
      <sz val="12"/>
      <color indexed="22"/>
      <name val="Arial"/>
      <family val="2"/>
    </font>
    <font>
      <sz val="10"/>
      <name val="Arial"/>
      <family val="2"/>
    </font>
    <font>
      <sz val="12"/>
      <color indexed="12"/>
      <name val="Arial"/>
      <family val="2"/>
    </font>
    <font>
      <sz val="10"/>
      <name val="Times New Roman"/>
      <family val="1"/>
    </font>
    <font>
      <b/>
      <sz val="12"/>
      <color indexed="12"/>
      <name val="Times New Roman"/>
      <family val="1"/>
    </font>
    <font>
      <b/>
      <sz val="14"/>
      <name val="Times New Roman"/>
      <family val="1"/>
    </font>
    <font>
      <b/>
      <sz val="14"/>
      <color indexed="14"/>
      <name val="Lucida Sans"/>
      <family val="2"/>
    </font>
    <font>
      <sz val="12"/>
      <color indexed="12"/>
      <name val="Times New Roman"/>
      <family val="1"/>
    </font>
    <font>
      <sz val="10"/>
      <name val="Times New Roman"/>
      <family val="1"/>
    </font>
    <font>
      <sz val="12"/>
      <name val="Times New Roman"/>
      <family val="1"/>
    </font>
    <font>
      <b/>
      <sz val="12"/>
      <name val="Times New Roman"/>
      <family val="1"/>
    </font>
    <font>
      <b/>
      <sz val="10"/>
      <name val="Times New Roman"/>
      <family val="1"/>
    </font>
    <font>
      <b/>
      <sz val="12"/>
      <color indexed="14"/>
      <name val="Times New Roman"/>
      <family val="1"/>
    </font>
    <font>
      <sz val="10"/>
      <name val="Palatino"/>
    </font>
    <font>
      <b/>
      <sz val="14"/>
      <color indexed="14"/>
      <name val="Arial"/>
      <family val="2"/>
    </font>
    <font>
      <sz val="10"/>
      <color indexed="12"/>
      <name val="Palatino"/>
    </font>
    <font>
      <b/>
      <sz val="12"/>
      <color indexed="22"/>
      <name val="Times New Roman"/>
      <family val="1"/>
    </font>
    <font>
      <b/>
      <sz val="12"/>
      <color indexed="8"/>
      <name val="Times New Roman"/>
      <family val="1"/>
    </font>
    <font>
      <sz val="16"/>
      <color indexed="14"/>
      <name val="Arial"/>
      <family val="2"/>
    </font>
    <font>
      <b/>
      <sz val="16"/>
      <color indexed="14"/>
      <name val="Arial"/>
      <family val="2"/>
    </font>
    <font>
      <sz val="16"/>
      <color indexed="14"/>
      <name val="Arial"/>
      <family val="2"/>
    </font>
    <font>
      <sz val="16"/>
      <color indexed="14"/>
      <name val="Times New Roman"/>
      <family val="1"/>
    </font>
    <font>
      <sz val="16"/>
      <color indexed="14"/>
      <name val="Times New Roman"/>
      <family val="1"/>
    </font>
    <font>
      <b/>
      <sz val="16"/>
      <color indexed="14"/>
      <name val="Times New Roman"/>
      <family val="1"/>
    </font>
    <font>
      <b/>
      <sz val="16"/>
      <color indexed="14"/>
      <name val="Times New Roman"/>
      <family val="1"/>
    </font>
    <font>
      <sz val="16"/>
      <name val="Times New Roman"/>
      <family val="1"/>
    </font>
    <font>
      <sz val="16"/>
      <name val="Times New Roman"/>
      <family val="1"/>
    </font>
    <font>
      <b/>
      <sz val="16"/>
      <name val="Times New Roman"/>
      <family val="1"/>
    </font>
    <font>
      <b/>
      <sz val="16"/>
      <name val="Times New Roman"/>
      <family val="1"/>
    </font>
    <font>
      <b/>
      <sz val="16"/>
      <color indexed="14"/>
      <name val="Lucida Sans"/>
      <family val="2"/>
    </font>
    <font>
      <sz val="16"/>
      <color indexed="14"/>
      <name val="Lucida Sans"/>
      <family val="2"/>
    </font>
    <font>
      <sz val="16"/>
      <color indexed="8"/>
      <name val="Times New Roman"/>
      <family val="1"/>
    </font>
    <font>
      <b/>
      <sz val="16"/>
      <color indexed="8"/>
      <name val="Times New Roman"/>
      <family val="1"/>
    </font>
    <font>
      <sz val="14"/>
      <name val="Times New Roman"/>
      <family val="1"/>
    </font>
    <font>
      <b/>
      <sz val="16"/>
      <color indexed="50"/>
      <name val="Times New Roman"/>
      <family val="1"/>
    </font>
    <font>
      <sz val="16"/>
      <color indexed="8"/>
      <name val="Times New Roman"/>
      <family val="1"/>
    </font>
    <font>
      <b/>
      <sz val="16"/>
      <color indexed="8"/>
      <name val="Times New Roman"/>
      <family val="1"/>
    </font>
    <font>
      <b/>
      <sz val="16"/>
      <color indexed="10"/>
      <name val="Times New Roman"/>
      <family val="1"/>
    </font>
    <font>
      <b/>
      <sz val="16"/>
      <name val="Monotype Sorts"/>
    </font>
    <font>
      <sz val="16"/>
      <name val="Arial"/>
      <family val="2"/>
    </font>
    <font>
      <sz val="16"/>
      <color indexed="10"/>
      <name val="Times New Roman"/>
      <family val="1"/>
    </font>
    <font>
      <sz val="14"/>
      <name val="Palatino"/>
    </font>
    <font>
      <sz val="14"/>
      <name val="Times New Roman"/>
      <family val="1"/>
    </font>
    <font>
      <b/>
      <sz val="16"/>
      <color indexed="12"/>
      <name val="Times New Roman"/>
      <family val="1"/>
    </font>
    <font>
      <b/>
      <sz val="14"/>
      <name val="Times New Roman"/>
      <family val="1"/>
    </font>
    <font>
      <b/>
      <sz val="14"/>
      <color indexed="14"/>
      <name val="Times New Roman"/>
      <family val="1"/>
    </font>
    <font>
      <sz val="16"/>
      <name val="Palatino"/>
    </font>
    <font>
      <b/>
      <sz val="16"/>
      <name val="Palatino"/>
    </font>
    <font>
      <sz val="18"/>
      <name val="Tms Rmn"/>
    </font>
    <font>
      <b/>
      <sz val="14"/>
      <name val="Palatino"/>
    </font>
    <font>
      <b/>
      <sz val="12"/>
      <color indexed="81"/>
      <name val="Tahoma"/>
      <family val="2"/>
    </font>
    <font>
      <sz val="12"/>
      <color indexed="81"/>
      <name val="Tahoma"/>
      <family val="2"/>
    </font>
    <font>
      <sz val="8"/>
      <color indexed="81"/>
      <name val="Tahoma"/>
      <family val="2"/>
    </font>
    <font>
      <b/>
      <sz val="10"/>
      <color indexed="81"/>
      <name val="Tahoma"/>
      <family val="2"/>
    </font>
    <font>
      <sz val="10"/>
      <color indexed="81"/>
      <name val="Tahoma"/>
      <family val="2"/>
    </font>
    <font>
      <sz val="7"/>
      <color indexed="81"/>
      <name val="Tahoma"/>
      <family val="2"/>
    </font>
    <font>
      <sz val="9"/>
      <color indexed="81"/>
      <name val="Geneva"/>
    </font>
    <font>
      <b/>
      <sz val="12"/>
      <color indexed="81"/>
      <name val="Arial"/>
      <family val="2"/>
    </font>
    <font>
      <sz val="12"/>
      <color indexed="81"/>
      <name val="Arial"/>
      <family val="2"/>
    </font>
    <font>
      <b/>
      <sz val="9"/>
      <color indexed="81"/>
      <name val="Geneva"/>
    </font>
    <font>
      <b/>
      <sz val="8"/>
      <color indexed="81"/>
      <name val="Tahoma"/>
      <family val="2"/>
    </font>
    <font>
      <sz val="12"/>
      <color indexed="10"/>
      <name val="Tahoma"/>
      <family val="2"/>
    </font>
    <font>
      <b/>
      <sz val="9"/>
      <name val="Geneva"/>
    </font>
    <font>
      <b/>
      <sz val="10"/>
      <name val="Geneva"/>
    </font>
    <font>
      <sz val="10"/>
      <name val="Arial Black"/>
      <family val="2"/>
    </font>
    <font>
      <sz val="11"/>
      <name val="Arial Black"/>
      <family val="2"/>
    </font>
    <font>
      <i/>
      <sz val="9"/>
      <name val="Geneva"/>
    </font>
    <font>
      <b/>
      <u/>
      <sz val="10"/>
      <name val="Geneva"/>
    </font>
    <font>
      <sz val="9"/>
      <color indexed="8"/>
      <name val="Arial Black"/>
      <family val="2"/>
    </font>
    <font>
      <b/>
      <i/>
      <sz val="9"/>
      <name val="Geneva"/>
    </font>
    <font>
      <sz val="14"/>
      <name val="Arial Black"/>
      <family val="2"/>
    </font>
    <font>
      <b/>
      <sz val="9"/>
      <color indexed="8"/>
      <name val="Geneva"/>
    </font>
    <font>
      <sz val="9"/>
      <color indexed="8"/>
      <name val="Arial"/>
      <family val="2"/>
    </font>
    <font>
      <sz val="9"/>
      <color indexed="8"/>
      <name val="Geneva"/>
    </font>
    <font>
      <sz val="9"/>
      <color indexed="8"/>
      <name val="Arial Narrow"/>
      <family val="2"/>
    </font>
    <font>
      <b/>
      <sz val="9"/>
      <color indexed="10"/>
      <name val="Geneva"/>
    </font>
    <font>
      <b/>
      <sz val="9"/>
      <name val="Arial Narrow"/>
      <family val="2"/>
    </font>
    <font>
      <sz val="10"/>
      <name val="Geneva"/>
    </font>
    <font>
      <b/>
      <sz val="10"/>
      <name val="Arial Narrow"/>
      <family val="2"/>
    </font>
    <font>
      <sz val="10"/>
      <color indexed="10"/>
      <name val="Arial Black"/>
      <family val="2"/>
    </font>
    <font>
      <sz val="8"/>
      <name val="Arial Black"/>
      <family val="2"/>
    </font>
    <font>
      <b/>
      <sz val="10"/>
      <color indexed="12"/>
      <name val="Geneva"/>
    </font>
    <font>
      <b/>
      <sz val="10"/>
      <color indexed="10"/>
      <name val="Arial Black"/>
      <family val="2"/>
    </font>
    <font>
      <b/>
      <sz val="9"/>
      <color indexed="8"/>
      <name val="Arial Narrow"/>
      <family val="2"/>
    </font>
    <font>
      <b/>
      <sz val="9"/>
      <color indexed="10"/>
      <name val="Arial Narrow"/>
      <family val="2"/>
    </font>
    <font>
      <sz val="14"/>
      <color indexed="8"/>
      <name val="Arial Black"/>
      <family val="2"/>
    </font>
    <font>
      <sz val="9"/>
      <name val="Arial Black"/>
      <family val="2"/>
    </font>
    <font>
      <sz val="9"/>
      <name val="Geneva"/>
    </font>
    <font>
      <b/>
      <sz val="11"/>
      <name val="Geneva"/>
    </font>
    <font>
      <sz val="14"/>
      <color indexed="12"/>
      <name val="Arial Black"/>
      <family val="2"/>
    </font>
    <font>
      <b/>
      <sz val="8"/>
      <color indexed="10"/>
      <name val="Tahoma"/>
      <family val="2"/>
    </font>
    <font>
      <sz val="8"/>
      <name val="Times New Roman"/>
      <family val="1"/>
    </font>
    <font>
      <sz val="10"/>
      <color indexed="12"/>
      <name val="Arial Black"/>
      <family val="2"/>
    </font>
    <font>
      <sz val="12"/>
      <color indexed="10"/>
      <name val="Times New Roman"/>
      <family val="1"/>
    </font>
    <font>
      <b/>
      <sz val="12"/>
      <color indexed="10"/>
      <name val="Times New Roman"/>
      <family val="1"/>
    </font>
    <font>
      <b/>
      <sz val="18"/>
      <name val="Times New Roman"/>
      <family val="1"/>
    </font>
    <font>
      <b/>
      <sz val="12"/>
      <color indexed="81"/>
      <name val="Geneva"/>
    </font>
    <font>
      <sz val="12"/>
      <color indexed="81"/>
      <name val="Geneva"/>
    </font>
    <font>
      <sz val="11"/>
      <color indexed="9"/>
      <name val="Times New Roman"/>
      <family val="1"/>
    </font>
    <font>
      <b/>
      <sz val="16"/>
      <name val="Arial"/>
      <family val="2"/>
    </font>
    <font>
      <b/>
      <sz val="10"/>
      <name val="Arial"/>
      <family val="2"/>
    </font>
    <font>
      <sz val="8"/>
      <name val="Arial"/>
      <family val="2"/>
    </font>
    <font>
      <b/>
      <sz val="10"/>
      <color indexed="10"/>
      <name val="Tahoma"/>
      <family val="2"/>
    </font>
    <font>
      <sz val="14"/>
      <color indexed="14"/>
      <name val="Arial"/>
      <family val="2"/>
    </font>
    <font>
      <sz val="14"/>
      <name val="Arial"/>
      <family val="2"/>
    </font>
    <font>
      <b/>
      <sz val="11"/>
      <color indexed="81"/>
      <name val="Tahoma"/>
      <family val="2"/>
    </font>
    <font>
      <u/>
      <sz val="12"/>
      <color theme="10"/>
      <name val="Times New Roman"/>
      <family val="1"/>
    </font>
    <font>
      <b/>
      <sz val="9"/>
      <color indexed="81"/>
      <name val="Tahoma"/>
      <family val="2"/>
    </font>
    <font>
      <sz val="9"/>
      <color indexed="81"/>
      <name val="Tahoma"/>
      <family val="2"/>
    </font>
    <font>
      <b/>
      <sz val="16"/>
      <color rgb="FFFF00FF"/>
      <name val="Times New Roman"/>
      <family val="1"/>
    </font>
    <font>
      <sz val="12"/>
      <color indexed="14"/>
      <name val="Arial"/>
      <family val="2"/>
    </font>
    <font>
      <sz val="12"/>
      <color rgb="FFFF0000"/>
      <name val="Times New Roman"/>
      <family val="1"/>
    </font>
    <font>
      <sz val="16"/>
      <color rgb="FF00B050"/>
      <name val="Times New Roman"/>
      <family val="1"/>
    </font>
    <font>
      <b/>
      <sz val="16"/>
      <color rgb="FFFF0000"/>
      <name val="Times New Roman"/>
      <family val="1"/>
    </font>
    <font>
      <sz val="16"/>
      <color rgb="FFFF0000"/>
      <name val="Times New Roman"/>
      <family val="1"/>
    </font>
    <font>
      <b/>
      <sz val="14"/>
      <color rgb="FFFF00FF"/>
      <name val="Times New Roman"/>
      <family val="1"/>
    </font>
    <font>
      <b/>
      <sz val="18"/>
      <color rgb="FFFF00FF"/>
      <name val="Times New Roman"/>
      <family val="1"/>
    </font>
    <font>
      <b/>
      <sz val="16"/>
      <color rgb="FFFF00FF"/>
      <name val="Arial"/>
      <family val="2"/>
    </font>
  </fonts>
  <fills count="2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21"/>
        <bgColor indexed="64"/>
      </patternFill>
    </fill>
    <fill>
      <patternFill patternType="solid">
        <fgColor indexed="44"/>
        <bgColor indexed="64"/>
      </patternFill>
    </fill>
    <fill>
      <patternFill patternType="solid">
        <fgColor indexed="45"/>
        <bgColor indexed="64"/>
      </patternFill>
    </fill>
    <fill>
      <patternFill patternType="gray125">
        <bgColor indexed="63"/>
      </patternFill>
    </fill>
    <fill>
      <patternFill patternType="solid">
        <fgColor indexed="49"/>
        <bgColor indexed="64"/>
      </patternFill>
    </fill>
    <fill>
      <patternFill patternType="solid">
        <fgColor indexed="17"/>
        <bgColor indexed="64"/>
      </patternFill>
    </fill>
    <fill>
      <patternFill patternType="solid">
        <fgColor indexed="42"/>
        <bgColor indexed="64"/>
      </patternFill>
    </fill>
    <fill>
      <patternFill patternType="solid">
        <fgColor indexed="40"/>
        <bgColor indexed="64"/>
      </patternFill>
    </fill>
    <fill>
      <patternFill patternType="solid">
        <fgColor indexed="46"/>
        <bgColor indexed="64"/>
      </patternFill>
    </fill>
    <fill>
      <patternFill patternType="solid">
        <fgColor indexed="47"/>
        <bgColor indexed="64"/>
      </patternFill>
    </fill>
    <fill>
      <patternFill patternType="solid">
        <fgColor indexed="13"/>
        <bgColor indexed="64"/>
      </patternFill>
    </fill>
    <fill>
      <patternFill patternType="solid">
        <fgColor indexed="20"/>
        <bgColor indexed="24"/>
      </patternFill>
    </fill>
    <fill>
      <patternFill patternType="solid">
        <fgColor rgb="FFFFFF99"/>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indexed="51"/>
        <bgColor indexed="64"/>
      </patternFill>
    </fill>
    <fill>
      <patternFill patternType="solid">
        <fgColor rgb="FFFF99CC"/>
        <bgColor indexed="64"/>
      </patternFill>
    </fill>
    <fill>
      <patternFill patternType="gray125">
        <bgColor rgb="FFFF99CC"/>
      </patternFill>
    </fill>
    <fill>
      <patternFill patternType="solid">
        <fgColor rgb="FFC0C0C0"/>
        <bgColor indexed="64"/>
      </patternFill>
    </fill>
    <fill>
      <patternFill patternType="gray125">
        <bgColor theme="0" tint="-0.249977111117893"/>
      </patternFill>
    </fill>
  </fills>
  <borders count="14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ashDotDot">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thick">
        <color indexed="64"/>
      </bottom>
      <diagonal/>
    </border>
    <border>
      <left/>
      <right/>
      <top style="thick">
        <color indexed="64"/>
      </top>
      <bottom/>
      <diagonal/>
    </border>
    <border>
      <left style="thin">
        <color indexed="64"/>
      </left>
      <right style="medium">
        <color indexed="64"/>
      </right>
      <top/>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medium">
        <color indexed="64"/>
      </right>
      <top/>
      <bottom style="thick">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ashed">
        <color indexed="64"/>
      </right>
      <top style="dott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double">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dotted">
        <color indexed="64"/>
      </left>
      <right/>
      <top/>
      <bottom style="medium">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style="thin">
        <color indexed="64"/>
      </top>
      <bottom style="medium">
        <color indexed="64"/>
      </bottom>
      <diagonal/>
    </border>
    <border>
      <left/>
      <right style="medium">
        <color auto="1"/>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medium">
        <color indexed="64"/>
      </left>
      <right/>
      <top style="double">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double">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double">
        <color indexed="64"/>
      </top>
      <bottom style="thick">
        <color indexed="64"/>
      </bottom>
      <diagonal/>
    </border>
    <border>
      <left style="medium">
        <color indexed="64"/>
      </left>
      <right/>
      <top style="double">
        <color indexed="64"/>
      </top>
      <bottom style="medium">
        <color indexed="64"/>
      </bottom>
      <diagonal/>
    </border>
    <border>
      <left style="medium">
        <color indexed="64"/>
      </left>
      <right/>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18" fillId="0" borderId="0" applyNumberFormat="0" applyFill="0" applyBorder="0" applyAlignment="0" applyProtection="0"/>
  </cellStyleXfs>
  <cellXfs count="2005">
    <xf numFmtId="0" fontId="0" fillId="0" borderId="0" xfId="0"/>
    <xf numFmtId="0" fontId="4" fillId="2" borderId="0" xfId="0" applyFont="1" applyFill="1" applyProtection="1"/>
    <xf numFmtId="49" fontId="4" fillId="0" borderId="0" xfId="0" applyNumberFormat="1" applyFont="1" applyAlignment="1" applyProtection="1">
      <alignment horizontal="center"/>
    </xf>
    <xf numFmtId="0" fontId="4" fillId="0" borderId="0" xfId="0" applyFont="1" applyProtection="1"/>
    <xf numFmtId="0" fontId="4" fillId="0" borderId="0" xfId="0" applyFont="1" applyBorder="1" applyProtection="1"/>
    <xf numFmtId="0" fontId="5" fillId="0" borderId="0" xfId="0" applyFont="1" applyAlignment="1" applyProtection="1">
      <alignment vertical="center"/>
    </xf>
    <xf numFmtId="0" fontId="4" fillId="0" borderId="0" xfId="0" applyFont="1" applyAlignment="1" applyProtection="1">
      <alignment vertical="center"/>
    </xf>
    <xf numFmtId="49" fontId="4" fillId="0" borderId="1" xfId="0" applyNumberFormat="1"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7" xfId="0" applyFont="1" applyBorder="1" applyProtection="1"/>
    <xf numFmtId="0" fontId="4" fillId="0" borderId="2" xfId="0" applyFont="1" applyBorder="1" applyProtection="1"/>
    <xf numFmtId="0" fontId="4" fillId="0" borderId="2" xfId="0" applyFont="1" applyFill="1" applyBorder="1" applyProtection="1"/>
    <xf numFmtId="49" fontId="4" fillId="0" borderId="1" xfId="0" applyNumberFormat="1" applyFont="1" applyBorder="1" applyAlignment="1" applyProtection="1">
      <alignment horizontal="center"/>
    </xf>
    <xf numFmtId="0" fontId="4" fillId="3" borderId="2" xfId="0" applyFont="1" applyFill="1" applyBorder="1" applyProtection="1">
      <protection locked="0"/>
    </xf>
    <xf numFmtId="0" fontId="5" fillId="0" borderId="2" xfId="0" applyFont="1" applyBorder="1" applyProtection="1"/>
    <xf numFmtId="0" fontId="10" fillId="3" borderId="2" xfId="0" applyFont="1" applyFill="1" applyBorder="1" applyProtection="1">
      <protection locked="0"/>
    </xf>
    <xf numFmtId="0" fontId="12" fillId="4" borderId="2" xfId="0" applyFont="1" applyFill="1" applyBorder="1" applyProtection="1"/>
    <xf numFmtId="0" fontId="4" fillId="0" borderId="2" xfId="0" quotePrefix="1" applyFont="1" applyBorder="1" applyAlignment="1" applyProtection="1">
      <alignment horizontal="left"/>
    </xf>
    <xf numFmtId="0" fontId="5" fillId="0" borderId="1" xfId="0" quotePrefix="1" applyFont="1" applyBorder="1" applyAlignment="1" applyProtection="1">
      <alignment horizontal="left" vertical="center"/>
    </xf>
    <xf numFmtId="0" fontId="4" fillId="4" borderId="2" xfId="0" applyFont="1" applyFill="1" applyBorder="1" applyProtection="1"/>
    <xf numFmtId="0" fontId="4" fillId="0" borderId="1" xfId="0" quotePrefix="1" applyFont="1" applyBorder="1" applyAlignment="1" applyProtection="1">
      <alignment horizontal="center" vertical="center"/>
    </xf>
    <xf numFmtId="0" fontId="4" fillId="0" borderId="9" xfId="0" applyFont="1" applyBorder="1" applyProtection="1"/>
    <xf numFmtId="0" fontId="0" fillId="0" borderId="0" xfId="0" applyProtection="1"/>
    <xf numFmtId="0" fontId="4" fillId="4" borderId="0" xfId="0" applyFont="1" applyFill="1" applyBorder="1" applyProtection="1"/>
    <xf numFmtId="167" fontId="4" fillId="0" borderId="5" xfId="0" applyNumberFormat="1" applyFont="1" applyBorder="1" applyAlignment="1" applyProtection="1">
      <alignment horizontal="center"/>
    </xf>
    <xf numFmtId="0" fontId="13" fillId="0" borderId="7" xfId="0" applyFont="1" applyBorder="1" applyProtection="1"/>
    <xf numFmtId="167" fontId="4" fillId="0" borderId="1" xfId="0" applyNumberFormat="1" applyFont="1" applyBorder="1" applyAlignment="1" applyProtection="1">
      <alignment horizontal="center"/>
    </xf>
    <xf numFmtId="0" fontId="13" fillId="0" borderId="2" xfId="0" applyFont="1" applyBorder="1" applyProtection="1"/>
    <xf numFmtId="167" fontId="4" fillId="0" borderId="8" xfId="0" applyNumberFormat="1" applyFont="1" applyBorder="1" applyAlignment="1" applyProtection="1">
      <alignment horizontal="center"/>
    </xf>
    <xf numFmtId="0" fontId="13" fillId="0" borderId="9" xfId="0" applyFont="1" applyBorder="1" applyProtection="1"/>
    <xf numFmtId="0" fontId="4" fillId="2" borderId="12" xfId="0" applyFont="1" applyFill="1" applyBorder="1" applyProtection="1"/>
    <xf numFmtId="0" fontId="4" fillId="2" borderId="9" xfId="0" applyFont="1" applyFill="1" applyBorder="1" applyProtection="1"/>
    <xf numFmtId="49" fontId="4" fillId="0" borderId="13" xfId="0" applyNumberFormat="1" applyFont="1" applyBorder="1" applyAlignment="1" applyProtection="1">
      <alignment horizontal="center"/>
    </xf>
    <xf numFmtId="0" fontId="4" fillId="0" borderId="14" xfId="0" applyFont="1" applyBorder="1" applyProtection="1"/>
    <xf numFmtId="0" fontId="4" fillId="0" borderId="15" xfId="0" applyFont="1" applyBorder="1" applyProtection="1"/>
    <xf numFmtId="0" fontId="8" fillId="0" borderId="15" xfId="0" applyFont="1" applyBorder="1" applyAlignment="1" applyProtection="1">
      <alignment horizontal="right"/>
    </xf>
    <xf numFmtId="0" fontId="4" fillId="0" borderId="16" xfId="0" applyFont="1" applyBorder="1" applyProtection="1"/>
    <xf numFmtId="49" fontId="4" fillId="0" borderId="16" xfId="0" applyNumberFormat="1" applyFont="1" applyBorder="1" applyAlignment="1" applyProtection="1">
      <alignment horizontal="center"/>
    </xf>
    <xf numFmtId="167" fontId="2" fillId="0" borderId="0" xfId="0" applyNumberFormat="1" applyFont="1" applyAlignment="1" applyProtection="1">
      <alignment horizontal="left"/>
    </xf>
    <xf numFmtId="0" fontId="0" fillId="0" borderId="0" xfId="0" applyAlignment="1" applyProtection="1">
      <alignment horizontal="center"/>
    </xf>
    <xf numFmtId="0" fontId="0" fillId="0" borderId="0" xfId="0" applyProtection="1">
      <protection locked="0"/>
    </xf>
    <xf numFmtId="0" fontId="15" fillId="0" borderId="0" xfId="0" applyFont="1" applyProtection="1"/>
    <xf numFmtId="0" fontId="15" fillId="0" borderId="0" xfId="0" applyFont="1" applyProtection="1">
      <protection locked="0"/>
    </xf>
    <xf numFmtId="167" fontId="2" fillId="0" borderId="0" xfId="0" applyNumberFormat="1" applyFont="1" applyBorder="1" applyAlignment="1" applyProtection="1">
      <alignment horizontal="left"/>
    </xf>
    <xf numFmtId="0" fontId="0" fillId="0" borderId="0" xfId="0" applyBorder="1" applyProtection="1"/>
    <xf numFmtId="0" fontId="17" fillId="0" borderId="0" xfId="0" applyFont="1" applyBorder="1" applyProtection="1"/>
    <xf numFmtId="0" fontId="3" fillId="0" borderId="0" xfId="0" applyFont="1" applyBorder="1" applyProtection="1"/>
    <xf numFmtId="0" fontId="0" fillId="0" borderId="2" xfId="0" applyBorder="1" applyProtection="1"/>
    <xf numFmtId="0" fontId="3" fillId="0" borderId="2" xfId="0" applyFont="1" applyBorder="1" applyAlignment="1" applyProtection="1">
      <alignment horizontal="right" vertical="center"/>
    </xf>
    <xf numFmtId="0" fontId="0" fillId="0" borderId="2" xfId="0" applyBorder="1" applyAlignment="1" applyProtection="1">
      <alignment vertical="center"/>
    </xf>
    <xf numFmtId="0" fontId="0" fillId="0" borderId="0" xfId="0" applyAlignment="1" applyProtection="1">
      <alignment vertical="center"/>
    </xf>
    <xf numFmtId="3" fontId="3" fillId="0" borderId="21" xfId="0" applyNumberFormat="1" applyFont="1" applyBorder="1" applyAlignment="1" applyProtection="1">
      <alignment horizontal="center" vertical="center"/>
    </xf>
    <xf numFmtId="0" fontId="3" fillId="5" borderId="26" xfId="0" applyFont="1" applyFill="1" applyBorder="1" applyAlignment="1" applyProtection="1">
      <alignment horizontal="center" vertical="center"/>
    </xf>
    <xf numFmtId="0" fontId="0" fillId="0" borderId="27" xfId="0" applyBorder="1" applyProtection="1"/>
    <xf numFmtId="0" fontId="0" fillId="0" borderId="2" xfId="0" applyBorder="1" applyAlignment="1" applyProtection="1">
      <alignment horizontal="right"/>
    </xf>
    <xf numFmtId="3" fontId="3" fillId="0" borderId="2" xfId="0" applyNumberFormat="1"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vertical="center"/>
      <protection locked="0"/>
    </xf>
    <xf numFmtId="0" fontId="3" fillId="0" borderId="29" xfId="0" applyFont="1" applyBorder="1" applyAlignment="1" applyProtection="1">
      <alignment horizontal="center" vertical="center"/>
    </xf>
    <xf numFmtId="0" fontId="0" fillId="0" borderId="0" xfId="0" applyAlignment="1" applyProtection="1">
      <alignment vertical="center"/>
      <protection locked="0"/>
    </xf>
    <xf numFmtId="0" fontId="2" fillId="2" borderId="15" xfId="0" applyFont="1" applyFill="1" applyBorder="1" applyProtection="1"/>
    <xf numFmtId="0" fontId="0" fillId="0" borderId="15" xfId="0" applyFill="1" applyBorder="1" applyAlignment="1" applyProtection="1">
      <alignment horizontal="right"/>
    </xf>
    <xf numFmtId="9" fontId="8" fillId="0" borderId="18" xfId="0" applyNumberFormat="1" applyFont="1" applyBorder="1" applyAlignment="1" applyProtection="1">
      <alignment horizontal="right"/>
    </xf>
    <xf numFmtId="2" fontId="8" fillId="0" borderId="20" xfId="0" applyNumberFormat="1" applyFont="1" applyBorder="1" applyAlignment="1" applyProtection="1">
      <alignment horizontal="right"/>
    </xf>
    <xf numFmtId="0" fontId="2" fillId="0" borderId="0" xfId="0" applyFont="1" applyFill="1" applyBorder="1" applyProtection="1"/>
    <xf numFmtId="0" fontId="0" fillId="0" borderId="0" xfId="0" applyFill="1" applyBorder="1" applyAlignment="1" applyProtection="1">
      <alignment horizontal="right"/>
    </xf>
    <xf numFmtId="0" fontId="3" fillId="5" borderId="0" xfId="0" applyFont="1" applyFill="1" applyBorder="1" applyAlignment="1" applyProtection="1">
      <alignment horizontal="center"/>
    </xf>
    <xf numFmtId="0" fontId="3" fillId="5" borderId="22" xfId="0" applyFont="1" applyFill="1" applyBorder="1" applyAlignment="1" applyProtection="1">
      <alignment horizontal="center"/>
    </xf>
    <xf numFmtId="0" fontId="0" fillId="0" borderId="0" xfId="0" applyFill="1" applyBorder="1" applyProtection="1"/>
    <xf numFmtId="0" fontId="2" fillId="0" borderId="18" xfId="0" applyFont="1" applyFill="1" applyBorder="1" applyProtection="1"/>
    <xf numFmtId="0" fontId="21" fillId="0" borderId="18" xfId="0" applyFont="1" applyFill="1" applyBorder="1" applyProtection="1"/>
    <xf numFmtId="0" fontId="3" fillId="0" borderId="18" xfId="0" applyFont="1" applyBorder="1" applyAlignment="1" applyProtection="1">
      <alignment horizontal="center"/>
    </xf>
    <xf numFmtId="0" fontId="0" fillId="0" borderId="31" xfId="0" applyFill="1" applyBorder="1" applyProtection="1"/>
    <xf numFmtId="9" fontId="0" fillId="3" borderId="31" xfId="0" applyNumberFormat="1" applyFill="1" applyBorder="1" applyProtection="1">
      <protection locked="0"/>
    </xf>
    <xf numFmtId="0" fontId="0" fillId="5" borderId="22" xfId="0" applyFill="1" applyBorder="1" applyAlignment="1" applyProtection="1">
      <alignment horizontal="center"/>
    </xf>
    <xf numFmtId="3" fontId="0" fillId="0" borderId="2" xfId="0" applyNumberFormat="1" applyBorder="1" applyProtection="1"/>
    <xf numFmtId="0" fontId="2" fillId="0" borderId="31" xfId="0" applyFont="1" applyFill="1" applyBorder="1" applyProtection="1"/>
    <xf numFmtId="0" fontId="0" fillId="5" borderId="0" xfId="0" applyFill="1" applyBorder="1" applyProtection="1"/>
    <xf numFmtId="0" fontId="22" fillId="0" borderId="2" xfId="0" applyFont="1" applyBorder="1" applyAlignment="1" applyProtection="1">
      <alignment horizontal="right"/>
    </xf>
    <xf numFmtId="0" fontId="0" fillId="0" borderId="2" xfId="0" applyBorder="1" applyAlignment="1" applyProtection="1">
      <alignment horizontal="right" vertical="center"/>
    </xf>
    <xf numFmtId="0" fontId="0" fillId="5" borderId="24" xfId="0" applyFill="1" applyBorder="1" applyAlignment="1" applyProtection="1">
      <alignment vertical="center"/>
    </xf>
    <xf numFmtId="0" fontId="0" fillId="5" borderId="22" xfId="0" applyFill="1" applyBorder="1" applyAlignment="1" applyProtection="1">
      <alignment vertical="center"/>
    </xf>
    <xf numFmtId="0" fontId="0" fillId="0" borderId="27" xfId="0" applyBorder="1" applyAlignment="1" applyProtection="1">
      <alignment vertical="center"/>
    </xf>
    <xf numFmtId="0" fontId="2" fillId="0" borderId="18" xfId="0" applyFont="1" applyFill="1" applyBorder="1" applyAlignment="1" applyProtection="1">
      <alignment horizontal="right" vertical="center"/>
    </xf>
    <xf numFmtId="3" fontId="3" fillId="0" borderId="19" xfId="0" applyNumberFormat="1" applyFont="1" applyBorder="1" applyAlignment="1" applyProtection="1">
      <alignment horizontal="center" vertical="center"/>
    </xf>
    <xf numFmtId="0" fontId="20" fillId="0" borderId="34" xfId="0" applyFont="1" applyBorder="1" applyAlignment="1" applyProtection="1">
      <alignment horizontal="center" vertical="center"/>
    </xf>
    <xf numFmtId="0" fontId="3" fillId="5" borderId="22" xfId="0" applyFont="1" applyFill="1" applyBorder="1" applyAlignment="1" applyProtection="1">
      <alignment horizontal="center" vertical="center"/>
    </xf>
    <xf numFmtId="1" fontId="0" fillId="0" borderId="2" xfId="0" applyNumberFormat="1" applyBorder="1" applyProtection="1"/>
    <xf numFmtId="0" fontId="0" fillId="0" borderId="7" xfId="0" applyBorder="1" applyProtection="1"/>
    <xf numFmtId="0" fontId="0" fillId="0" borderId="7" xfId="0" applyFill="1" applyBorder="1" applyProtection="1"/>
    <xf numFmtId="1" fontId="0" fillId="3" borderId="35" xfId="0" applyNumberFormat="1" applyFill="1" applyBorder="1" applyProtection="1">
      <protection locked="0"/>
    </xf>
    <xf numFmtId="2" fontId="0" fillId="0" borderId="27" xfId="0" applyNumberFormat="1" applyBorder="1" applyProtection="1"/>
    <xf numFmtId="0" fontId="0" fillId="0" borderId="2" xfId="0" applyFill="1" applyBorder="1" applyProtection="1"/>
    <xf numFmtId="1" fontId="0" fillId="3" borderId="4" xfId="0" applyNumberFormat="1" applyFill="1" applyBorder="1" applyProtection="1">
      <protection locked="0"/>
    </xf>
    <xf numFmtId="0" fontId="0" fillId="2" borderId="2" xfId="0" applyFill="1" applyBorder="1" applyProtection="1"/>
    <xf numFmtId="0" fontId="0" fillId="3" borderId="2" xfId="0" applyFill="1" applyBorder="1" applyProtection="1">
      <protection locked="0"/>
    </xf>
    <xf numFmtId="0" fontId="16" fillId="0" borderId="36" xfId="0" applyFont="1" applyFill="1" applyBorder="1" applyAlignment="1" applyProtection="1">
      <alignment horizontal="center"/>
    </xf>
    <xf numFmtId="0" fontId="0" fillId="0" borderId="9" xfId="0" applyBorder="1" applyProtection="1"/>
    <xf numFmtId="1" fontId="22" fillId="0" borderId="37" xfId="0" applyNumberFormat="1" applyFont="1" applyBorder="1" applyProtection="1"/>
    <xf numFmtId="2" fontId="8" fillId="0" borderId="38" xfId="0" applyNumberFormat="1" applyFont="1" applyFill="1" applyBorder="1" applyAlignment="1" applyProtection="1">
      <alignment horizontal="center"/>
    </xf>
    <xf numFmtId="0" fontId="0" fillId="0" borderId="9" xfId="0" applyFill="1" applyBorder="1" applyProtection="1"/>
    <xf numFmtId="0" fontId="3" fillId="5" borderId="0" xfId="0" applyFont="1" applyFill="1" applyBorder="1" applyAlignment="1" applyProtection="1">
      <alignment horizontal="center" vertical="center"/>
    </xf>
    <xf numFmtId="167" fontId="0" fillId="0" borderId="0" xfId="0" applyNumberFormat="1" applyAlignment="1" applyProtection="1">
      <alignment horizontal="center"/>
    </xf>
    <xf numFmtId="3" fontId="0" fillId="0" borderId="0" xfId="0" applyNumberFormat="1" applyProtection="1"/>
    <xf numFmtId="167" fontId="0" fillId="0" borderId="0" xfId="0" applyNumberFormat="1" applyAlignment="1">
      <alignment horizontal="center"/>
    </xf>
    <xf numFmtId="3" fontId="0" fillId="0" borderId="0" xfId="0" applyNumberFormat="1"/>
    <xf numFmtId="0" fontId="0" fillId="0" borderId="0" xfId="0" applyAlignment="1">
      <alignment horizontal="center"/>
    </xf>
    <xf numFmtId="167" fontId="0" fillId="0" borderId="0" xfId="0" applyNumberFormat="1"/>
    <xf numFmtId="0" fontId="26" fillId="0" borderId="0" xfId="0" applyFont="1" applyProtection="1"/>
    <xf numFmtId="9" fontId="8" fillId="0" borderId="13" xfId="0" applyNumberFormat="1" applyFont="1" applyFill="1" applyBorder="1" applyAlignment="1" applyProtection="1">
      <alignment horizontal="right" vertical="center"/>
    </xf>
    <xf numFmtId="2" fontId="8" fillId="0" borderId="14" xfId="0" applyNumberFormat="1" applyFont="1" applyFill="1" applyBorder="1" applyAlignment="1" applyProtection="1">
      <alignment horizontal="center"/>
    </xf>
    <xf numFmtId="49" fontId="2" fillId="0" borderId="0" xfId="0" applyNumberFormat="1" applyFont="1" applyAlignment="1" applyProtection="1">
      <alignment horizontal="left"/>
    </xf>
    <xf numFmtId="0" fontId="17" fillId="0" borderId="18" xfId="0" applyFont="1" applyBorder="1" applyProtection="1"/>
    <xf numFmtId="3" fontId="0" fillId="0" borderId="19" xfId="0" applyNumberFormat="1" applyBorder="1" applyProtection="1"/>
    <xf numFmtId="0" fontId="0" fillId="0" borderId="18" xfId="0" applyBorder="1" applyProtection="1"/>
    <xf numFmtId="0" fontId="0" fillId="0" borderId="20" xfId="0" applyBorder="1" applyAlignment="1" applyProtection="1">
      <alignment horizontal="center"/>
    </xf>
    <xf numFmtId="49" fontId="2" fillId="0" borderId="0" xfId="0" applyNumberFormat="1" applyFont="1" applyBorder="1" applyAlignment="1" applyProtection="1">
      <alignment horizontal="center"/>
    </xf>
    <xf numFmtId="0" fontId="17" fillId="0" borderId="21" xfId="0" applyFont="1" applyBorder="1" applyProtection="1"/>
    <xf numFmtId="0" fontId="0" fillId="0" borderId="22" xfId="0" applyBorder="1" applyAlignment="1" applyProtection="1">
      <alignment horizontal="center"/>
    </xf>
    <xf numFmtId="0" fontId="3" fillId="0" borderId="0" xfId="0" applyFont="1" applyProtection="1"/>
    <xf numFmtId="3" fontId="3" fillId="0" borderId="21" xfId="0" applyNumberFormat="1" applyFont="1" applyBorder="1" applyAlignment="1" applyProtection="1">
      <alignment horizontal="center"/>
    </xf>
    <xf numFmtId="0" fontId="3" fillId="0" borderId="0" xfId="0" applyFont="1" applyBorder="1" applyAlignment="1" applyProtection="1">
      <alignment horizontal="center"/>
    </xf>
    <xf numFmtId="0" fontId="3" fillId="0" borderId="22" xfId="0" applyFont="1" applyBorder="1" applyAlignment="1" applyProtection="1">
      <alignment horizontal="center"/>
    </xf>
    <xf numFmtId="0" fontId="3" fillId="0" borderId="0" xfId="0" applyFont="1" applyProtection="1">
      <protection locked="0"/>
    </xf>
    <xf numFmtId="0" fontId="2" fillId="0" borderId="0" xfId="0" applyFont="1" applyAlignment="1" applyProtection="1">
      <alignment horizontal="right" vertical="center"/>
    </xf>
    <xf numFmtId="0" fontId="24" fillId="0" borderId="7" xfId="0" applyFont="1" applyFill="1" applyBorder="1" applyAlignment="1" applyProtection="1">
      <alignment vertical="center"/>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0" borderId="2" xfId="0" applyFont="1" applyFill="1" applyBorder="1" applyAlignment="1" applyProtection="1">
      <alignment vertical="center"/>
    </xf>
    <xf numFmtId="3" fontId="3" fillId="0" borderId="2" xfId="0" applyNumberFormat="1"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41" xfId="0" applyFont="1" applyBorder="1" applyAlignment="1" applyProtection="1">
      <alignment horizontal="center" vertical="center"/>
    </xf>
    <xf numFmtId="0" fontId="22" fillId="0" borderId="2" xfId="0" applyFont="1" applyBorder="1" applyAlignment="1" applyProtection="1">
      <alignment horizontal="left" vertical="center"/>
    </xf>
    <xf numFmtId="0" fontId="22" fillId="0" borderId="0" xfId="0" applyFont="1" applyBorder="1" applyAlignment="1" applyProtection="1">
      <alignment horizontal="left" vertical="center"/>
    </xf>
    <xf numFmtId="3" fontId="22" fillId="0" borderId="21" xfId="0" applyNumberFormat="1" applyFont="1" applyFill="1" applyBorder="1" applyAlignment="1" applyProtection="1">
      <alignment horizontal="center" vertical="center"/>
    </xf>
    <xf numFmtId="9" fontId="22" fillId="0" borderId="29" xfId="0" applyNumberFormat="1" applyFont="1" applyFill="1" applyBorder="1" applyAlignment="1" applyProtection="1">
      <alignment horizontal="center" vertical="center"/>
    </xf>
    <xf numFmtId="0" fontId="22" fillId="2" borderId="15" xfId="0" applyFont="1" applyFill="1" applyBorder="1" applyAlignment="1" applyProtection="1">
      <alignment horizontal="left" vertical="center"/>
    </xf>
    <xf numFmtId="169" fontId="22" fillId="4" borderId="44" xfId="1" applyNumberFormat="1" applyFont="1" applyFill="1" applyBorder="1" applyAlignment="1" applyProtection="1">
      <alignment horizontal="center" vertical="center"/>
    </xf>
    <xf numFmtId="0" fontId="2" fillId="0" borderId="0" xfId="0" applyFont="1" applyAlignment="1" applyProtection="1">
      <alignment horizontal="right"/>
    </xf>
    <xf numFmtId="0" fontId="24" fillId="0" borderId="12" xfId="0" applyFont="1" applyBorder="1" applyAlignment="1" applyProtection="1">
      <alignment horizontal="left"/>
    </xf>
    <xf numFmtId="3" fontId="0" fillId="0" borderId="12" xfId="0" applyNumberFormat="1" applyBorder="1" applyAlignment="1" applyProtection="1">
      <alignment horizontal="center"/>
    </xf>
    <xf numFmtId="0" fontId="3" fillId="0" borderId="12" xfId="0" applyFont="1" applyBorder="1" applyAlignment="1" applyProtection="1">
      <alignment horizontal="center" vertical="center"/>
    </xf>
    <xf numFmtId="0" fontId="3" fillId="0" borderId="45" xfId="0" applyFont="1" applyBorder="1" applyAlignment="1" applyProtection="1">
      <alignment horizontal="center" vertical="center"/>
    </xf>
    <xf numFmtId="169" fontId="22" fillId="4" borderId="41" xfId="1" applyNumberFormat="1" applyFont="1" applyFill="1" applyBorder="1" applyAlignment="1" applyProtection="1">
      <alignment horizontal="center"/>
    </xf>
    <xf numFmtId="0" fontId="0" fillId="4" borderId="0" xfId="0" applyFill="1" applyBorder="1" applyAlignment="1" applyProtection="1">
      <alignment horizontal="left"/>
    </xf>
    <xf numFmtId="0" fontId="0" fillId="4" borderId="22" xfId="0" applyFill="1" applyBorder="1" applyAlignment="1" applyProtection="1">
      <alignment horizontal="center"/>
    </xf>
    <xf numFmtId="0" fontId="24" fillId="2" borderId="7" xfId="0" applyFont="1" applyFill="1" applyBorder="1" applyAlignment="1" applyProtection="1">
      <alignment horizontal="left"/>
    </xf>
    <xf numFmtId="0" fontId="24" fillId="0" borderId="7" xfId="0" applyFont="1" applyBorder="1" applyProtection="1"/>
    <xf numFmtId="0" fontId="29" fillId="2" borderId="2" xfId="0" applyFont="1" applyFill="1" applyBorder="1" applyProtection="1"/>
    <xf numFmtId="0" fontId="29" fillId="0" borderId="2" xfId="0" applyFont="1" applyBorder="1" applyProtection="1"/>
    <xf numFmtId="0" fontId="29" fillId="0" borderId="9" xfId="0" applyFont="1" applyBorder="1" applyProtection="1"/>
    <xf numFmtId="0" fontId="0" fillId="4" borderId="40" xfId="0" applyFill="1" applyBorder="1" applyAlignment="1" applyProtection="1">
      <alignment horizontal="center"/>
    </xf>
    <xf numFmtId="0" fontId="5" fillId="0" borderId="9" xfId="0" applyFont="1" applyBorder="1" applyProtection="1"/>
    <xf numFmtId="0" fontId="24" fillId="0" borderId="0" xfId="0" applyFont="1" applyProtection="1"/>
    <xf numFmtId="2" fontId="8" fillId="0" borderId="47" xfId="0" applyNumberFormat="1" applyFont="1" applyFill="1" applyBorder="1" applyAlignment="1" applyProtection="1">
      <alignment horizontal="center"/>
    </xf>
    <xf numFmtId="171" fontId="22" fillId="0" borderId="0" xfId="2" applyNumberFormat="1" applyFont="1" applyFill="1" applyBorder="1" applyProtection="1"/>
    <xf numFmtId="0" fontId="24" fillId="0" borderId="0" xfId="0" applyFont="1" applyAlignment="1" applyProtection="1">
      <alignment horizontal="right"/>
    </xf>
    <xf numFmtId="2" fontId="24" fillId="0" borderId="0" xfId="0" applyNumberFormat="1" applyFont="1" applyAlignment="1" applyProtection="1">
      <alignment horizontal="left"/>
    </xf>
    <xf numFmtId="0" fontId="2" fillId="0" borderId="0" xfId="0" applyFont="1" applyFill="1" applyBorder="1" applyAlignment="1" applyProtection="1">
      <alignment horizontal="right" vertical="center"/>
    </xf>
    <xf numFmtId="164" fontId="25" fillId="0" borderId="0" xfId="0" applyNumberFormat="1" applyFont="1" applyBorder="1" applyProtection="1"/>
    <xf numFmtId="0" fontId="25" fillId="0" borderId="0" xfId="0" applyFont="1" applyBorder="1" applyProtection="1"/>
    <xf numFmtId="0" fontId="30" fillId="0" borderId="27" xfId="0" applyFont="1" applyBorder="1" applyProtection="1"/>
    <xf numFmtId="0" fontId="30" fillId="0" borderId="2" xfId="0" applyFont="1" applyFill="1" applyBorder="1" applyProtection="1"/>
    <xf numFmtId="1" fontId="30" fillId="0" borderId="2" xfId="0" applyNumberFormat="1" applyFont="1" applyFill="1" applyBorder="1" applyAlignment="1" applyProtection="1">
      <alignment horizontal="left" indent="3"/>
    </xf>
    <xf numFmtId="2" fontId="30" fillId="0" borderId="2" xfId="0" applyNumberFormat="1" applyFont="1" applyFill="1" applyBorder="1" applyAlignment="1" applyProtection="1">
      <alignment horizontal="right"/>
    </xf>
    <xf numFmtId="1" fontId="30" fillId="0" borderId="2" xfId="0" applyNumberFormat="1" applyFont="1" applyFill="1" applyBorder="1" applyProtection="1"/>
    <xf numFmtId="0" fontId="30" fillId="0" borderId="2" xfId="0" applyFont="1" applyBorder="1" applyProtection="1"/>
    <xf numFmtId="1" fontId="31" fillId="0" borderId="2" xfId="0" applyNumberFormat="1" applyFont="1" applyFill="1" applyBorder="1" applyAlignment="1" applyProtection="1">
      <alignment horizontal="left" wrapText="1"/>
    </xf>
    <xf numFmtId="2" fontId="31" fillId="0" borderId="2" xfId="0" applyNumberFormat="1" applyFont="1" applyFill="1" applyBorder="1" applyProtection="1"/>
    <xf numFmtId="2" fontId="32" fillId="0" borderId="2" xfId="0" applyNumberFormat="1" applyFont="1" applyFill="1" applyBorder="1" applyProtection="1"/>
    <xf numFmtId="1" fontId="30" fillId="0" borderId="2" xfId="0" applyNumberFormat="1" applyFont="1" applyFill="1" applyBorder="1" applyAlignment="1" applyProtection="1">
      <alignment horizontal="left"/>
    </xf>
    <xf numFmtId="0" fontId="33" fillId="0" borderId="27" xfId="0" applyFont="1" applyBorder="1" applyProtection="1"/>
    <xf numFmtId="0" fontId="33" fillId="0" borderId="2" xfId="0" applyFont="1" applyFill="1" applyBorder="1" applyProtection="1"/>
    <xf numFmtId="0" fontId="33" fillId="0" borderId="2" xfId="0" applyFont="1" applyBorder="1" applyProtection="1"/>
    <xf numFmtId="0" fontId="38" fillId="0" borderId="5" xfId="0" applyFont="1" applyBorder="1" applyProtection="1"/>
    <xf numFmtId="0" fontId="37" fillId="0" borderId="7" xfId="0" applyFont="1" applyBorder="1" applyProtection="1"/>
    <xf numFmtId="0" fontId="37" fillId="0" borderId="7" xfId="0" applyFont="1" applyBorder="1" applyAlignment="1" applyProtection="1">
      <alignment horizontal="left"/>
    </xf>
    <xf numFmtId="0" fontId="37" fillId="0" borderId="27" xfId="0" applyFont="1" applyBorder="1" applyProtection="1"/>
    <xf numFmtId="0" fontId="40" fillId="0" borderId="2" xfId="0" applyFont="1" applyFill="1" applyBorder="1" applyProtection="1"/>
    <xf numFmtId="2" fontId="40" fillId="0" borderId="2" xfId="0" applyNumberFormat="1" applyFont="1" applyFill="1" applyBorder="1" applyProtection="1"/>
    <xf numFmtId="0" fontId="37" fillId="0" borderId="2" xfId="0" applyFont="1" applyFill="1" applyBorder="1" applyProtection="1"/>
    <xf numFmtId="0" fontId="37" fillId="0" borderId="2" xfId="0" applyFont="1" applyBorder="1" applyProtection="1"/>
    <xf numFmtId="0" fontId="38" fillId="0" borderId="27" xfId="0" applyFont="1" applyBorder="1" applyProtection="1"/>
    <xf numFmtId="0" fontId="40" fillId="0" borderId="2" xfId="0" applyFont="1" applyFill="1" applyBorder="1" applyAlignment="1" applyProtection="1">
      <alignment horizontal="right"/>
    </xf>
    <xf numFmtId="2" fontId="40" fillId="0" borderId="2" xfId="0" applyNumberFormat="1" applyFont="1" applyBorder="1" applyAlignment="1" applyProtection="1">
      <alignment horizontal="left"/>
    </xf>
    <xf numFmtId="0" fontId="38" fillId="0" borderId="2" xfId="0" applyFont="1" applyFill="1" applyBorder="1" applyProtection="1"/>
    <xf numFmtId="0" fontId="38" fillId="0" borderId="2" xfId="0" applyFont="1" applyBorder="1" applyProtection="1"/>
    <xf numFmtId="0" fontId="40" fillId="0" borderId="2" xfId="0" applyFont="1" applyFill="1" applyBorder="1" applyAlignment="1" applyProtection="1">
      <alignment horizontal="left"/>
    </xf>
    <xf numFmtId="1" fontId="40" fillId="0" borderId="2" xfId="0" applyNumberFormat="1" applyFont="1" applyFill="1" applyBorder="1" applyAlignment="1" applyProtection="1">
      <alignment horizontal="left"/>
    </xf>
    <xf numFmtId="2" fontId="38" fillId="0" borderId="2" xfId="0" applyNumberFormat="1" applyFont="1" applyFill="1" applyBorder="1" applyProtection="1"/>
    <xf numFmtId="0" fontId="37" fillId="0" borderId="3" xfId="0" applyFont="1" applyBorder="1" applyAlignment="1" applyProtection="1">
      <alignment vertical="center"/>
    </xf>
    <xf numFmtId="0" fontId="37" fillId="0" borderId="27" xfId="0" applyFont="1" applyBorder="1" applyAlignment="1" applyProtection="1">
      <alignment vertical="center"/>
    </xf>
    <xf numFmtId="0" fontId="37" fillId="0" borderId="2" xfId="0" applyFont="1" applyFill="1" applyBorder="1" applyAlignment="1" applyProtection="1">
      <alignment vertical="center"/>
    </xf>
    <xf numFmtId="2" fontId="37" fillId="0" borderId="2" xfId="0" applyNumberFormat="1" applyFont="1" applyFill="1" applyBorder="1" applyAlignment="1" applyProtection="1">
      <alignment horizontal="right" vertical="center"/>
    </xf>
    <xf numFmtId="1" fontId="37" fillId="0" borderId="2" xfId="0" applyNumberFormat="1" applyFont="1" applyFill="1" applyBorder="1" applyAlignment="1" applyProtection="1">
      <alignment vertical="center"/>
    </xf>
    <xf numFmtId="2" fontId="37" fillId="0" borderId="2" xfId="0" applyNumberFormat="1" applyFont="1" applyFill="1" applyBorder="1" applyAlignment="1" applyProtection="1">
      <alignment vertical="center"/>
    </xf>
    <xf numFmtId="0" fontId="37" fillId="0" borderId="2" xfId="0" applyFont="1" applyBorder="1" applyAlignment="1" applyProtection="1">
      <alignment vertical="center"/>
    </xf>
    <xf numFmtId="0" fontId="38" fillId="0" borderId="1" xfId="0" applyFont="1" applyBorder="1" applyProtection="1"/>
    <xf numFmtId="0" fontId="40" fillId="0" borderId="4" xfId="0" applyFont="1" applyBorder="1" applyProtection="1"/>
    <xf numFmtId="0" fontId="37" fillId="7" borderId="0" xfId="0" applyFont="1" applyFill="1" applyBorder="1" applyAlignment="1" applyProtection="1">
      <alignment horizontal="left"/>
    </xf>
    <xf numFmtId="3" fontId="37" fillId="7" borderId="0" xfId="0" applyNumberFormat="1" applyFont="1" applyFill="1" applyBorder="1" applyProtection="1"/>
    <xf numFmtId="0" fontId="39" fillId="7" borderId="0" xfId="0" applyFont="1" applyFill="1" applyBorder="1" applyProtection="1"/>
    <xf numFmtId="0" fontId="37" fillId="7" borderId="22" xfId="0" applyFont="1" applyFill="1" applyBorder="1" applyProtection="1"/>
    <xf numFmtId="2" fontId="37" fillId="0" borderId="2" xfId="0" applyNumberFormat="1" applyFont="1" applyFill="1" applyBorder="1" applyProtection="1"/>
    <xf numFmtId="0" fontId="40" fillId="0" borderId="1" xfId="0" applyFont="1" applyBorder="1" applyAlignment="1" applyProtection="1">
      <alignment vertical="center"/>
    </xf>
    <xf numFmtId="0" fontId="40" fillId="0" borderId="4" xfId="0" applyFont="1" applyBorder="1" applyAlignment="1" applyProtection="1">
      <alignment vertical="center"/>
    </xf>
    <xf numFmtId="0" fontId="37" fillId="7" borderId="0" xfId="0" applyFont="1" applyFill="1" applyBorder="1" applyAlignment="1" applyProtection="1">
      <alignment vertical="center"/>
    </xf>
    <xf numFmtId="3" fontId="37" fillId="7" borderId="0" xfId="0" applyNumberFormat="1" applyFont="1" applyFill="1" applyBorder="1" applyAlignment="1" applyProtection="1">
      <alignment vertical="center"/>
    </xf>
    <xf numFmtId="0" fontId="39" fillId="7" borderId="0" xfId="0" applyFont="1" applyFill="1" applyBorder="1" applyAlignment="1" applyProtection="1">
      <alignment vertical="center"/>
    </xf>
    <xf numFmtId="0" fontId="37" fillId="7" borderId="22" xfId="0" applyFont="1" applyFill="1" applyBorder="1" applyAlignment="1" applyProtection="1">
      <alignment vertical="center"/>
    </xf>
    <xf numFmtId="0" fontId="40" fillId="0" borderId="27" xfId="0" applyFont="1" applyFill="1" applyBorder="1" applyAlignment="1" applyProtection="1">
      <alignment vertical="center"/>
    </xf>
    <xf numFmtId="2" fontId="40" fillId="0" borderId="2" xfId="0" applyNumberFormat="1" applyFont="1" applyFill="1" applyBorder="1" applyAlignment="1" applyProtection="1">
      <alignment vertical="center"/>
    </xf>
    <xf numFmtId="0" fontId="40" fillId="0" borderId="2" xfId="0" applyFont="1" applyFill="1" applyBorder="1" applyAlignment="1" applyProtection="1">
      <alignment vertical="center"/>
    </xf>
    <xf numFmtId="0" fontId="40" fillId="0" borderId="2" xfId="0" quotePrefix="1" applyFont="1" applyFill="1" applyBorder="1" applyAlignment="1" applyProtection="1">
      <alignment vertical="center"/>
    </xf>
    <xf numFmtId="2" fontId="40" fillId="0" borderId="2" xfId="0" applyNumberFormat="1" applyFont="1" applyFill="1" applyBorder="1" applyAlignment="1" applyProtection="1">
      <alignment horizontal="center" vertical="center"/>
    </xf>
    <xf numFmtId="0" fontId="38" fillId="0" borderId="50" xfId="0" applyFont="1" applyBorder="1" applyAlignment="1" applyProtection="1">
      <alignment vertical="center"/>
    </xf>
    <xf numFmtId="0" fontId="40" fillId="0" borderId="3" xfId="0" applyFont="1" applyBorder="1" applyAlignment="1" applyProtection="1">
      <alignment vertical="center"/>
    </xf>
    <xf numFmtId="0" fontId="37" fillId="0" borderId="46" xfId="0" applyFont="1" applyBorder="1" applyAlignment="1" applyProtection="1">
      <alignment vertical="center"/>
    </xf>
    <xf numFmtId="0" fontId="40" fillId="0" borderId="27" xfId="0" applyFont="1" applyBorder="1" applyAlignment="1" applyProtection="1">
      <alignment vertical="center"/>
    </xf>
    <xf numFmtId="0" fontId="38" fillId="0" borderId="5" xfId="0" applyFont="1" applyBorder="1" applyAlignment="1" applyProtection="1">
      <alignment vertical="center"/>
    </xf>
    <xf numFmtId="0" fontId="40" fillId="0" borderId="7" xfId="0" applyFont="1" applyBorder="1" applyAlignment="1" applyProtection="1">
      <alignment vertical="center"/>
    </xf>
    <xf numFmtId="0" fontId="37" fillId="0" borderId="7" xfId="0" applyFont="1" applyFill="1" applyBorder="1" applyAlignment="1" applyProtection="1">
      <alignment vertical="center"/>
    </xf>
    <xf numFmtId="3" fontId="37" fillId="0" borderId="7" xfId="0" applyNumberFormat="1" applyFont="1" applyFill="1" applyBorder="1" applyAlignment="1" applyProtection="1">
      <alignment vertical="center"/>
    </xf>
    <xf numFmtId="0" fontId="39" fillId="0" borderId="7" xfId="0" applyFont="1" applyFill="1" applyBorder="1" applyAlignment="1" applyProtection="1">
      <alignment vertical="center"/>
    </xf>
    <xf numFmtId="0" fontId="37" fillId="0" borderId="2" xfId="0" applyFont="1" applyBorder="1" applyAlignment="1" applyProtection="1">
      <alignment horizontal="left"/>
    </xf>
    <xf numFmtId="0" fontId="40" fillId="0" borderId="2" xfId="0" applyFont="1" applyBorder="1" applyAlignment="1" applyProtection="1">
      <alignment horizontal="left"/>
    </xf>
    <xf numFmtId="2" fontId="40" fillId="0" borderId="2" xfId="0" applyNumberFormat="1" applyFont="1" applyBorder="1" applyProtection="1"/>
    <xf numFmtId="0" fontId="40" fillId="0" borderId="2" xfId="0" applyFont="1" applyBorder="1" applyProtection="1"/>
    <xf numFmtId="2" fontId="40" fillId="0" borderId="2" xfId="0" applyNumberFormat="1" applyFont="1" applyBorder="1" applyAlignment="1" applyProtection="1">
      <alignment horizontal="right"/>
    </xf>
    <xf numFmtId="3" fontId="40" fillId="0" borderId="2" xfId="0" applyNumberFormat="1" applyFont="1" applyFill="1" applyBorder="1" applyAlignment="1" applyProtection="1">
      <alignment vertical="center"/>
    </xf>
    <xf numFmtId="0" fontId="38" fillId="0" borderId="8" xfId="0" applyFont="1" applyBorder="1" applyProtection="1"/>
    <xf numFmtId="0" fontId="37" fillId="0" borderId="9" xfId="0" applyFont="1" applyBorder="1" applyAlignment="1" applyProtection="1">
      <alignment horizontal="left"/>
    </xf>
    <xf numFmtId="0" fontId="37" fillId="0" borderId="9" xfId="0" applyFont="1" applyBorder="1" applyProtection="1"/>
    <xf numFmtId="0" fontId="40" fillId="0" borderId="9" xfId="0" applyFont="1" applyBorder="1" applyAlignment="1" applyProtection="1">
      <alignment horizontal="left"/>
    </xf>
    <xf numFmtId="2" fontId="40" fillId="0" borderId="9" xfId="0" applyNumberFormat="1" applyFont="1" applyBorder="1" applyProtection="1"/>
    <xf numFmtId="0" fontId="40" fillId="0" borderId="9" xfId="0" applyFont="1" applyBorder="1" applyProtection="1"/>
    <xf numFmtId="2" fontId="40" fillId="0" borderId="9" xfId="0" applyNumberFormat="1" applyFont="1" applyBorder="1" applyAlignment="1" applyProtection="1">
      <alignment horizontal="right"/>
    </xf>
    <xf numFmtId="0" fontId="38" fillId="0" borderId="51" xfId="0" applyFont="1" applyBorder="1" applyProtection="1"/>
    <xf numFmtId="0" fontId="37" fillId="0" borderId="52" xfId="0" applyFont="1" applyBorder="1" applyAlignment="1" applyProtection="1">
      <alignment horizontal="left"/>
    </xf>
    <xf numFmtId="0" fontId="37" fillId="0" borderId="21" xfId="0" applyFont="1" applyBorder="1" applyProtection="1"/>
    <xf numFmtId="0" fontId="37" fillId="0" borderId="35" xfId="0" applyFont="1" applyBorder="1" applyAlignment="1" applyProtection="1">
      <alignment vertical="center"/>
    </xf>
    <xf numFmtId="0" fontId="37" fillId="7" borderId="18" xfId="0" applyFont="1" applyFill="1" applyBorder="1" applyAlignment="1" applyProtection="1">
      <alignment vertical="center"/>
    </xf>
    <xf numFmtId="3" fontId="37" fillId="7" borderId="18" xfId="0" applyNumberFormat="1" applyFont="1" applyFill="1" applyBorder="1" applyAlignment="1" applyProtection="1">
      <alignment vertical="center"/>
    </xf>
    <xf numFmtId="0" fontId="39" fillId="7" borderId="18" xfId="0" applyFont="1" applyFill="1" applyBorder="1" applyAlignment="1" applyProtection="1">
      <alignment vertical="center"/>
    </xf>
    <xf numFmtId="0" fontId="40" fillId="0" borderId="12" xfId="0" applyFont="1" applyBorder="1" applyAlignment="1" applyProtection="1">
      <alignment horizontal="center"/>
    </xf>
    <xf numFmtId="2" fontId="40" fillId="0" borderId="12" xfId="0" applyNumberFormat="1" applyFont="1" applyBorder="1" applyProtection="1"/>
    <xf numFmtId="0" fontId="40" fillId="0" borderId="12" xfId="0" applyFont="1" applyBorder="1" applyProtection="1"/>
    <xf numFmtId="2" fontId="40" fillId="0" borderId="12" xfId="0" applyNumberFormat="1" applyFont="1" applyBorder="1" applyAlignment="1" applyProtection="1">
      <alignment horizontal="right"/>
    </xf>
    <xf numFmtId="0" fontId="40" fillId="0" borderId="2" xfId="0" applyFont="1" applyBorder="1" applyAlignment="1" applyProtection="1">
      <alignment horizontal="center"/>
    </xf>
    <xf numFmtId="0" fontId="40" fillId="0" borderId="2" xfId="0" quotePrefix="1" applyFont="1" applyBorder="1" applyAlignment="1" applyProtection="1">
      <alignment horizontal="center"/>
    </xf>
    <xf numFmtId="0" fontId="43" fillId="0" borderId="2" xfId="0" applyFont="1" applyFill="1" applyBorder="1" applyProtection="1"/>
    <xf numFmtId="0" fontId="44" fillId="0" borderId="2" xfId="0" quotePrefix="1" applyFont="1" applyBorder="1" applyAlignment="1" applyProtection="1">
      <alignment horizontal="center"/>
    </xf>
    <xf numFmtId="2" fontId="44" fillId="0" borderId="2" xfId="0" applyNumberFormat="1" applyFont="1" applyBorder="1" applyProtection="1"/>
    <xf numFmtId="0" fontId="44" fillId="0" borderId="2" xfId="0" applyFont="1" applyBorder="1" applyProtection="1"/>
    <xf numFmtId="2" fontId="44" fillId="0" borderId="2" xfId="0" applyNumberFormat="1" applyFont="1" applyBorder="1" applyAlignment="1" applyProtection="1">
      <alignment horizontal="right"/>
    </xf>
    <xf numFmtId="0" fontId="37" fillId="0" borderId="1" xfId="0" applyFont="1" applyBorder="1" applyProtection="1"/>
    <xf numFmtId="0" fontId="40" fillId="0" borderId="3" xfId="0" applyFont="1" applyBorder="1" applyProtection="1"/>
    <xf numFmtId="2" fontId="40" fillId="0" borderId="3" xfId="0" applyNumberFormat="1" applyFont="1" applyBorder="1" applyProtection="1"/>
    <xf numFmtId="0" fontId="37" fillId="0" borderId="4" xfId="0" applyFont="1" applyFill="1" applyBorder="1" applyProtection="1"/>
    <xf numFmtId="0" fontId="37" fillId="0" borderId="9" xfId="0" applyFont="1" applyBorder="1" applyAlignment="1" applyProtection="1">
      <alignment vertical="center"/>
    </xf>
    <xf numFmtId="0" fontId="37" fillId="7" borderId="24" xfId="0" applyFont="1" applyFill="1" applyBorder="1" applyAlignment="1" applyProtection="1">
      <alignment vertical="center"/>
    </xf>
    <xf numFmtId="3" fontId="37" fillId="7" borderId="24" xfId="0" applyNumberFormat="1" applyFont="1" applyFill="1" applyBorder="1" applyAlignment="1" applyProtection="1">
      <alignment vertical="center"/>
    </xf>
    <xf numFmtId="0" fontId="37" fillId="0" borderId="5" xfId="0" applyFont="1" applyBorder="1" applyAlignment="1" applyProtection="1">
      <alignment vertical="center"/>
    </xf>
    <xf numFmtId="0" fontId="39" fillId="0" borderId="7" xfId="0" quotePrefix="1" applyFont="1" applyBorder="1" applyAlignment="1" applyProtection="1">
      <alignment horizontal="left" vertical="center"/>
    </xf>
    <xf numFmtId="0" fontId="40" fillId="0" borderId="35" xfId="0" applyFont="1" applyBorder="1" applyAlignment="1" applyProtection="1">
      <alignment vertical="center"/>
    </xf>
    <xf numFmtId="0" fontId="39" fillId="0" borderId="2" xfId="0" applyFont="1" applyBorder="1" applyAlignment="1" applyProtection="1">
      <alignment horizontal="left"/>
    </xf>
    <xf numFmtId="0" fontId="43" fillId="0" borderId="2" xfId="0" applyFont="1" applyBorder="1" applyProtection="1"/>
    <xf numFmtId="0" fontId="44" fillId="0" borderId="12" xfId="0" applyFont="1" applyBorder="1" applyAlignment="1" applyProtection="1">
      <alignment horizontal="left"/>
    </xf>
    <xf numFmtId="2" fontId="44" fillId="0" borderId="12" xfId="0" applyNumberFormat="1" applyFont="1" applyBorder="1" applyProtection="1"/>
    <xf numFmtId="0" fontId="44" fillId="0" borderId="12" xfId="0" applyFont="1" applyBorder="1" applyProtection="1"/>
    <xf numFmtId="2" fontId="44" fillId="0" borderId="12" xfId="0" quotePrefix="1" applyNumberFormat="1" applyFont="1" applyBorder="1" applyAlignment="1" applyProtection="1">
      <alignment horizontal="right"/>
    </xf>
    <xf numFmtId="0" fontId="44" fillId="0" borderId="2" xfId="0" quotePrefix="1" applyFont="1" applyBorder="1" applyAlignment="1" applyProtection="1">
      <alignment horizontal="left"/>
    </xf>
    <xf numFmtId="2" fontId="44" fillId="0" borderId="2" xfId="0" quotePrefix="1" applyNumberFormat="1" applyFont="1" applyBorder="1" applyAlignment="1" applyProtection="1">
      <alignment horizontal="right"/>
    </xf>
    <xf numFmtId="0" fontId="44" fillId="0" borderId="2" xfId="0" applyFont="1" applyBorder="1" applyAlignment="1" applyProtection="1">
      <alignment horizontal="left"/>
    </xf>
    <xf numFmtId="0" fontId="43" fillId="2" borderId="2" xfId="0" applyFont="1" applyFill="1" applyBorder="1" applyProtection="1"/>
    <xf numFmtId="0" fontId="44" fillId="2" borderId="2" xfId="0" applyFont="1" applyFill="1" applyBorder="1" applyAlignment="1" applyProtection="1">
      <alignment horizontal="left"/>
    </xf>
    <xf numFmtId="2" fontId="44" fillId="2" borderId="2" xfId="0" applyNumberFormat="1" applyFont="1" applyFill="1" applyBorder="1" applyProtection="1"/>
    <xf numFmtId="0" fontId="44" fillId="2" borderId="2" xfId="0" applyFont="1" applyFill="1" applyBorder="1" applyProtection="1"/>
    <xf numFmtId="2" fontId="44" fillId="2" borderId="2" xfId="0" quotePrefix="1" applyNumberFormat="1" applyFont="1" applyFill="1" applyBorder="1" applyAlignment="1" applyProtection="1">
      <alignment horizontal="right"/>
    </xf>
    <xf numFmtId="1" fontId="44" fillId="2" borderId="2" xfId="0" applyNumberFormat="1" applyFont="1" applyFill="1" applyBorder="1" applyProtection="1"/>
    <xf numFmtId="0" fontId="44" fillId="2" borderId="2" xfId="0" quotePrefix="1" applyFont="1" applyFill="1" applyBorder="1" applyAlignment="1" applyProtection="1">
      <alignment horizontal="left"/>
    </xf>
    <xf numFmtId="1" fontId="44" fillId="0" borderId="2" xfId="0" applyNumberFormat="1" applyFont="1" applyBorder="1" applyProtection="1"/>
    <xf numFmtId="0" fontId="40" fillId="0" borderId="2" xfId="0" quotePrefix="1" applyFont="1" applyBorder="1" applyAlignment="1" applyProtection="1">
      <alignment horizontal="left"/>
    </xf>
    <xf numFmtId="2" fontId="40" fillId="0" borderId="2" xfId="0" quotePrefix="1" applyNumberFormat="1" applyFont="1" applyBorder="1" applyAlignment="1" applyProtection="1">
      <alignment horizontal="right"/>
    </xf>
    <xf numFmtId="0" fontId="46" fillId="0" borderId="2" xfId="0" applyFont="1" applyBorder="1" applyProtection="1"/>
    <xf numFmtId="0" fontId="37" fillId="0" borderId="3" xfId="0" applyFont="1" applyBorder="1" applyProtection="1"/>
    <xf numFmtId="2" fontId="46" fillId="0" borderId="3" xfId="0" applyNumberFormat="1" applyFont="1" applyBorder="1" applyProtection="1"/>
    <xf numFmtId="0" fontId="39" fillId="0" borderId="9" xfId="0" applyFont="1" applyBorder="1" applyAlignment="1" applyProtection="1">
      <alignment horizontal="left"/>
    </xf>
    <xf numFmtId="0" fontId="37" fillId="0" borderId="37" xfId="0" applyFont="1" applyBorder="1" applyProtection="1"/>
    <xf numFmtId="0" fontId="40" fillId="0" borderId="5" xfId="0" applyFont="1" applyBorder="1" applyProtection="1"/>
    <xf numFmtId="0" fontId="39" fillId="0" borderId="7" xfId="0" applyFont="1" applyBorder="1" applyAlignment="1" applyProtection="1">
      <alignment horizontal="left"/>
    </xf>
    <xf numFmtId="0" fontId="37" fillId="0" borderId="35" xfId="0" applyFont="1" applyBorder="1" applyProtection="1"/>
    <xf numFmtId="0" fontId="40" fillId="0" borderId="1" xfId="0" applyFont="1" applyBorder="1" applyProtection="1"/>
    <xf numFmtId="0" fontId="37" fillId="3" borderId="2" xfId="0" applyFont="1" applyFill="1" applyBorder="1" applyProtection="1">
      <protection locked="0"/>
    </xf>
    <xf numFmtId="0" fontId="40" fillId="3" borderId="12" xfId="0" quotePrefix="1" applyFont="1" applyFill="1" applyBorder="1" applyAlignment="1" applyProtection="1">
      <alignment horizontal="left"/>
      <protection locked="0"/>
    </xf>
    <xf numFmtId="3" fontId="40" fillId="3" borderId="12" xfId="0" applyNumberFormat="1" applyFont="1" applyFill="1" applyBorder="1" applyProtection="1">
      <protection locked="0"/>
    </xf>
    <xf numFmtId="0" fontId="40" fillId="3" borderId="12" xfId="0" applyFont="1" applyFill="1" applyBorder="1" applyProtection="1">
      <protection locked="0"/>
    </xf>
    <xf numFmtId="39" fontId="40" fillId="3" borderId="12" xfId="1" applyNumberFormat="1" applyFont="1" applyFill="1" applyBorder="1" applyProtection="1">
      <protection locked="0"/>
    </xf>
    <xf numFmtId="0" fontId="38" fillId="0" borderId="1" xfId="0" applyFont="1" applyBorder="1" applyAlignment="1" applyProtection="1">
      <alignment vertical="center"/>
    </xf>
    <xf numFmtId="0" fontId="39" fillId="0" borderId="2" xfId="0" applyFont="1" applyBorder="1" applyAlignment="1" applyProtection="1">
      <alignment vertical="center"/>
    </xf>
    <xf numFmtId="0" fontId="40" fillId="3" borderId="2" xfId="0" applyFont="1" applyFill="1" applyBorder="1" applyAlignment="1" applyProtection="1">
      <alignment vertical="center"/>
      <protection locked="0"/>
    </xf>
    <xf numFmtId="2" fontId="40" fillId="3" borderId="2" xfId="0" applyNumberFormat="1" applyFont="1" applyFill="1" applyBorder="1" applyAlignment="1" applyProtection="1">
      <alignment vertical="center"/>
      <protection locked="0"/>
    </xf>
    <xf numFmtId="39" fontId="40" fillId="3" borderId="2" xfId="1" applyNumberFormat="1" applyFont="1" applyFill="1" applyBorder="1" applyProtection="1">
      <protection locked="0"/>
    </xf>
    <xf numFmtId="0" fontId="40" fillId="3" borderId="2" xfId="0" quotePrefix="1" applyFont="1" applyFill="1" applyBorder="1" applyAlignment="1" applyProtection="1">
      <alignment horizontal="left"/>
      <protection locked="0"/>
    </xf>
    <xf numFmtId="2" fontId="40" fillId="3" borderId="2" xfId="0" applyNumberFormat="1" applyFont="1" applyFill="1" applyBorder="1" applyProtection="1">
      <protection locked="0"/>
    </xf>
    <xf numFmtId="0" fontId="40" fillId="3" borderId="2" xfId="0" applyFont="1" applyFill="1" applyBorder="1" applyProtection="1">
      <protection locked="0"/>
    </xf>
    <xf numFmtId="3" fontId="40" fillId="3" borderId="2" xfId="0" applyNumberFormat="1" applyFont="1" applyFill="1" applyBorder="1" applyProtection="1">
      <protection locked="0"/>
    </xf>
    <xf numFmtId="0" fontId="40" fillId="3" borderId="3" xfId="0" applyFont="1" applyFill="1" applyBorder="1" applyProtection="1">
      <protection locked="0"/>
    </xf>
    <xf numFmtId="3" fontId="40" fillId="3" borderId="3" xfId="0" applyNumberFormat="1" applyFont="1" applyFill="1" applyBorder="1" applyProtection="1">
      <protection locked="0"/>
    </xf>
    <xf numFmtId="0" fontId="40" fillId="7" borderId="24" xfId="0" applyFont="1" applyFill="1" applyBorder="1" applyAlignment="1" applyProtection="1">
      <alignment vertical="center"/>
    </xf>
    <xf numFmtId="3" fontId="40" fillId="7" borderId="24" xfId="0" applyNumberFormat="1" applyFont="1" applyFill="1" applyBorder="1" applyAlignment="1" applyProtection="1">
      <alignment vertical="center"/>
    </xf>
    <xf numFmtId="0" fontId="40" fillId="7" borderId="40" xfId="0" applyFont="1" applyFill="1" applyBorder="1" applyAlignment="1" applyProtection="1">
      <alignment vertical="center"/>
    </xf>
    <xf numFmtId="0" fontId="40" fillId="7" borderId="18" xfId="0" applyFont="1" applyFill="1" applyBorder="1" applyAlignment="1" applyProtection="1">
      <alignment vertical="center"/>
    </xf>
    <xf numFmtId="3" fontId="40" fillId="7" borderId="18" xfId="0" applyNumberFormat="1" applyFont="1" applyFill="1" applyBorder="1" applyAlignment="1" applyProtection="1">
      <alignment vertical="center"/>
    </xf>
    <xf numFmtId="3" fontId="40" fillId="7" borderId="0" xfId="0" applyNumberFormat="1" applyFont="1" applyFill="1" applyBorder="1" applyAlignment="1" applyProtection="1">
      <alignment vertical="center"/>
    </xf>
    <xf numFmtId="0" fontId="37" fillId="7" borderId="0" xfId="0" applyFont="1" applyFill="1" applyBorder="1" applyProtection="1"/>
    <xf numFmtId="3" fontId="40" fillId="0" borderId="53" xfId="0" applyNumberFormat="1" applyFont="1" applyFill="1" applyBorder="1" applyAlignment="1" applyProtection="1">
      <alignment vertical="center"/>
    </xf>
    <xf numFmtId="3" fontId="40" fillId="0" borderId="52" xfId="0" applyNumberFormat="1" applyFont="1" applyFill="1" applyBorder="1" applyAlignment="1" applyProtection="1">
      <alignment vertical="center"/>
    </xf>
    <xf numFmtId="3" fontId="40" fillId="8" borderId="13" xfId="0" applyNumberFormat="1" applyFont="1" applyFill="1" applyBorder="1" applyAlignment="1" applyProtection="1">
      <alignment vertical="center"/>
    </xf>
    <xf numFmtId="3" fontId="40" fillId="8" borderId="15" xfId="0" applyNumberFormat="1" applyFont="1" applyFill="1" applyBorder="1" applyAlignment="1" applyProtection="1">
      <alignment vertical="center"/>
    </xf>
    <xf numFmtId="0" fontId="40" fillId="0" borderId="51" xfId="0" quotePrefix="1" applyFont="1" applyBorder="1" applyAlignment="1" applyProtection="1">
      <alignment horizontal="left" vertical="center"/>
    </xf>
    <xf numFmtId="0" fontId="37" fillId="0" borderId="52" xfId="0" applyFont="1" applyBorder="1" applyAlignment="1" applyProtection="1">
      <alignment vertical="center"/>
    </xf>
    <xf numFmtId="0" fontId="37" fillId="0" borderId="21" xfId="0" applyFont="1" applyBorder="1" applyAlignment="1" applyProtection="1">
      <alignment vertical="center"/>
    </xf>
    <xf numFmtId="0" fontId="40" fillId="7" borderId="0" xfId="0" applyFont="1" applyFill="1" applyBorder="1" applyAlignment="1" applyProtection="1">
      <alignment vertical="center"/>
    </xf>
    <xf numFmtId="3" fontId="40" fillId="0" borderId="12" xfId="0" applyNumberFormat="1" applyFont="1" applyBorder="1" applyProtection="1"/>
    <xf numFmtId="2" fontId="37" fillId="0" borderId="27" xfId="0" applyNumberFormat="1" applyFont="1" applyFill="1" applyBorder="1" applyProtection="1"/>
    <xf numFmtId="3" fontId="40" fillId="0" borderId="2" xfId="0" applyNumberFormat="1" applyFont="1" applyBorder="1" applyProtection="1"/>
    <xf numFmtId="1" fontId="40" fillId="0" borderId="2" xfId="0" applyNumberFormat="1" applyFont="1" applyBorder="1" applyProtection="1"/>
    <xf numFmtId="2" fontId="40" fillId="2" borderId="2" xfId="0" applyNumberFormat="1" applyFont="1" applyFill="1" applyBorder="1" applyAlignment="1" applyProtection="1">
      <alignment horizontal="right"/>
    </xf>
    <xf numFmtId="0" fontId="47" fillId="2" borderId="2" xfId="0" applyFont="1" applyFill="1" applyBorder="1" applyProtection="1"/>
    <xf numFmtId="0" fontId="48" fillId="2" borderId="2" xfId="0" applyFont="1" applyFill="1" applyBorder="1" applyProtection="1"/>
    <xf numFmtId="3" fontId="48" fillId="2" borderId="2" xfId="0" applyNumberFormat="1" applyFont="1" applyFill="1" applyBorder="1" applyProtection="1"/>
    <xf numFmtId="2" fontId="48" fillId="2" borderId="2" xfId="0" applyNumberFormat="1" applyFont="1" applyFill="1" applyBorder="1" applyProtection="1"/>
    <xf numFmtId="0" fontId="48" fillId="2" borderId="2" xfId="0" quotePrefix="1" applyFont="1" applyFill="1" applyBorder="1" applyAlignment="1" applyProtection="1">
      <alignment horizontal="left"/>
    </xf>
    <xf numFmtId="1" fontId="48" fillId="2" borderId="2" xfId="0" applyNumberFormat="1" applyFont="1" applyFill="1" applyBorder="1" applyProtection="1"/>
    <xf numFmtId="2" fontId="48" fillId="2" borderId="2" xfId="0" applyNumberFormat="1" applyFont="1" applyFill="1" applyBorder="1" applyAlignment="1" applyProtection="1">
      <alignment horizontal="right"/>
    </xf>
    <xf numFmtId="0" fontId="49" fillId="0" borderId="2" xfId="0" applyFont="1" applyBorder="1" applyProtection="1"/>
    <xf numFmtId="2" fontId="37" fillId="0" borderId="27" xfId="0" applyNumberFormat="1" applyFont="1" applyFill="1" applyBorder="1" applyAlignment="1" applyProtection="1">
      <alignment horizontal="left" wrapText="1"/>
    </xf>
    <xf numFmtId="3" fontId="40" fillId="0" borderId="9" xfId="0" applyNumberFormat="1" applyFont="1" applyBorder="1" applyProtection="1"/>
    <xf numFmtId="3" fontId="37" fillId="0" borderId="27" xfId="0" applyNumberFormat="1" applyFont="1" applyBorder="1" applyProtection="1"/>
    <xf numFmtId="0" fontId="37" fillId="0" borderId="52" xfId="0" applyFont="1" applyBorder="1" applyProtection="1"/>
    <xf numFmtId="1" fontId="40" fillId="0" borderId="12" xfId="0" applyNumberFormat="1" applyFont="1" applyBorder="1" applyProtection="1"/>
    <xf numFmtId="2" fontId="44" fillId="2" borderId="12" xfId="0" applyNumberFormat="1" applyFont="1" applyFill="1" applyBorder="1" applyProtection="1"/>
    <xf numFmtId="0" fontId="37" fillId="2" borderId="2" xfId="0" applyFont="1" applyFill="1" applyBorder="1" applyProtection="1"/>
    <xf numFmtId="0" fontId="40" fillId="2" borderId="2" xfId="0" applyFont="1" applyFill="1" applyBorder="1" applyProtection="1"/>
    <xf numFmtId="3" fontId="40" fillId="2" borderId="2" xfId="0" applyNumberFormat="1" applyFont="1" applyFill="1" applyBorder="1" applyProtection="1"/>
    <xf numFmtId="2" fontId="40" fillId="2" borderId="2" xfId="0" applyNumberFormat="1" applyFont="1" applyFill="1" applyBorder="1" applyProtection="1"/>
    <xf numFmtId="0" fontId="40" fillId="2" borderId="2" xfId="0" applyFont="1" applyFill="1" applyBorder="1" applyAlignment="1" applyProtection="1">
      <alignment horizontal="left"/>
    </xf>
    <xf numFmtId="1" fontId="40" fillId="2" borderId="2" xfId="0" applyNumberFormat="1" applyFont="1" applyFill="1" applyBorder="1" applyProtection="1"/>
    <xf numFmtId="3" fontId="40" fillId="0" borderId="3" xfId="0" applyNumberFormat="1" applyFont="1" applyBorder="1" applyProtection="1"/>
    <xf numFmtId="0" fontId="37" fillId="7" borderId="24" xfId="0" applyFont="1" applyFill="1" applyBorder="1" applyProtection="1"/>
    <xf numFmtId="1" fontId="40" fillId="7" borderId="24" xfId="0" applyNumberFormat="1" applyFont="1" applyFill="1" applyBorder="1" applyAlignment="1" applyProtection="1">
      <alignment vertical="center"/>
    </xf>
    <xf numFmtId="1" fontId="40" fillId="7" borderId="18" xfId="0" applyNumberFormat="1" applyFont="1" applyFill="1" applyBorder="1" applyAlignment="1" applyProtection="1">
      <alignment vertical="center"/>
    </xf>
    <xf numFmtId="0" fontId="37" fillId="0" borderId="12" xfId="0" applyFont="1" applyBorder="1" applyAlignment="1" applyProtection="1">
      <alignment horizontal="left"/>
    </xf>
    <xf numFmtId="2" fontId="40" fillId="2" borderId="12" xfId="0" applyNumberFormat="1" applyFont="1" applyFill="1" applyBorder="1" applyAlignment="1" applyProtection="1">
      <alignment horizontal="right"/>
    </xf>
    <xf numFmtId="0" fontId="40" fillId="0" borderId="3" xfId="0" applyFont="1" applyBorder="1" applyAlignment="1" applyProtection="1">
      <alignment horizontal="left"/>
    </xf>
    <xf numFmtId="1" fontId="40" fillId="0" borderId="3" xfId="0" applyNumberFormat="1" applyFont="1" applyBorder="1" applyProtection="1"/>
    <xf numFmtId="166" fontId="40" fillId="0" borderId="2" xfId="0" applyNumberFormat="1" applyFont="1" applyBorder="1" applyProtection="1"/>
    <xf numFmtId="0" fontId="38" fillId="2" borderId="2" xfId="0" applyFont="1" applyFill="1" applyBorder="1" applyProtection="1"/>
    <xf numFmtId="4" fontId="40" fillId="2" borderId="2" xfId="0" applyNumberFormat="1" applyFont="1" applyFill="1" applyBorder="1" applyProtection="1"/>
    <xf numFmtId="2" fontId="44" fillId="2" borderId="2" xfId="0" applyNumberFormat="1" applyFont="1" applyFill="1" applyBorder="1" applyAlignment="1" applyProtection="1">
      <alignment horizontal="right"/>
    </xf>
    <xf numFmtId="0" fontId="40" fillId="0" borderId="7" xfId="0" applyFont="1" applyBorder="1" applyProtection="1"/>
    <xf numFmtId="0" fontId="40" fillId="0" borderId="54" xfId="0" applyFont="1" applyBorder="1" applyAlignment="1" applyProtection="1">
      <alignment horizontal="left"/>
    </xf>
    <xf numFmtId="0" fontId="40" fillId="0" borderId="54" xfId="0" applyFont="1" applyBorder="1" applyAlignment="1" applyProtection="1">
      <alignment horizontal="right"/>
    </xf>
    <xf numFmtId="2" fontId="40" fillId="0" borderId="54" xfId="0" applyNumberFormat="1" applyFont="1" applyBorder="1" applyProtection="1"/>
    <xf numFmtId="0" fontId="40" fillId="3" borderId="2" xfId="0" applyFont="1" applyFill="1" applyBorder="1" applyAlignment="1" applyProtection="1">
      <alignment horizontal="left"/>
      <protection locked="0"/>
    </xf>
    <xf numFmtId="1" fontId="40" fillId="3" borderId="2" xfId="0" applyNumberFormat="1" applyFont="1" applyFill="1" applyBorder="1" applyProtection="1">
      <protection locked="0"/>
    </xf>
    <xf numFmtId="39" fontId="40" fillId="3" borderId="2" xfId="0" applyNumberFormat="1" applyFont="1" applyFill="1" applyBorder="1" applyProtection="1">
      <protection locked="0"/>
    </xf>
    <xf numFmtId="1" fontId="40" fillId="7" borderId="0" xfId="0" applyNumberFormat="1" applyFont="1" applyFill="1" applyBorder="1" applyAlignment="1" applyProtection="1">
      <alignment vertical="center"/>
    </xf>
    <xf numFmtId="0" fontId="37" fillId="0" borderId="0" xfId="0" applyFont="1"/>
    <xf numFmtId="0" fontId="38" fillId="0" borderId="12" xfId="0" applyFont="1" applyBorder="1" applyProtection="1"/>
    <xf numFmtId="0" fontId="37" fillId="0" borderId="12" xfId="0" applyFont="1" applyBorder="1" applyProtection="1"/>
    <xf numFmtId="3" fontId="37" fillId="0" borderId="12" xfId="0" applyNumberFormat="1" applyFont="1" applyBorder="1" applyProtection="1"/>
    <xf numFmtId="0" fontId="40" fillId="0" borderId="12" xfId="0" applyFont="1" applyBorder="1" applyAlignment="1" applyProtection="1">
      <alignment horizontal="left" vertical="center"/>
    </xf>
    <xf numFmtId="3" fontId="37" fillId="0" borderId="2" xfId="0" applyNumberFormat="1" applyFont="1" applyBorder="1" applyProtection="1"/>
    <xf numFmtId="0" fontId="39" fillId="0" borderId="2" xfId="0" applyFont="1" applyBorder="1" applyProtection="1"/>
    <xf numFmtId="0" fontId="38" fillId="0" borderId="0" xfId="0" applyFont="1" applyProtection="1"/>
    <xf numFmtId="0" fontId="37" fillId="0" borderId="0" xfId="0" applyFont="1" applyProtection="1"/>
    <xf numFmtId="0" fontId="37" fillId="0" borderId="0" xfId="0" applyFont="1" applyAlignment="1" applyProtection="1">
      <alignment horizontal="left"/>
    </xf>
    <xf numFmtId="3" fontId="37" fillId="0" borderId="0" xfId="0" applyNumberFormat="1" applyFont="1" applyProtection="1"/>
    <xf numFmtId="0" fontId="39" fillId="0" borderId="0" xfId="0" applyFont="1" applyProtection="1"/>
    <xf numFmtId="0" fontId="40" fillId="0" borderId="0" xfId="0" applyFont="1" applyFill="1" applyAlignment="1" applyProtection="1">
      <alignment vertical="center"/>
    </xf>
    <xf numFmtId="0" fontId="37" fillId="0" borderId="0" xfId="0" applyFont="1" applyFill="1" applyProtection="1"/>
    <xf numFmtId="2" fontId="37" fillId="0" borderId="0" xfId="0" applyNumberFormat="1" applyFont="1" applyFill="1" applyProtection="1"/>
    <xf numFmtId="0" fontId="30" fillId="0" borderId="0" xfId="0" applyFont="1" applyProtection="1"/>
    <xf numFmtId="0" fontId="30" fillId="0" borderId="0" xfId="0" applyFont="1" applyBorder="1" applyProtection="1"/>
    <xf numFmtId="0" fontId="37" fillId="0" borderId="0" xfId="0" applyFont="1" applyBorder="1" applyProtection="1"/>
    <xf numFmtId="2" fontId="37" fillId="0" borderId="0" xfId="0" applyNumberFormat="1" applyFont="1" applyProtection="1"/>
    <xf numFmtId="0" fontId="38" fillId="0" borderId="0" xfId="0" applyFont="1" applyBorder="1" applyProtection="1"/>
    <xf numFmtId="4" fontId="38" fillId="0" borderId="0" xfId="0" applyNumberFormat="1" applyFont="1" applyFill="1" applyProtection="1"/>
    <xf numFmtId="0" fontId="37" fillId="9" borderId="0" xfId="0" applyFont="1" applyFill="1" applyBorder="1" applyAlignment="1" applyProtection="1">
      <alignment horizontal="left"/>
    </xf>
    <xf numFmtId="3" fontId="37" fillId="9" borderId="0" xfId="0" applyNumberFormat="1" applyFont="1" applyFill="1" applyBorder="1" applyProtection="1"/>
    <xf numFmtId="0" fontId="39" fillId="9" borderId="0" xfId="0" applyFont="1" applyFill="1" applyBorder="1" applyProtection="1"/>
    <xf numFmtId="0" fontId="37" fillId="9" borderId="22" xfId="0" applyFont="1" applyFill="1" applyBorder="1" applyProtection="1"/>
    <xf numFmtId="0" fontId="40" fillId="0" borderId="8" xfId="0" applyFont="1" applyBorder="1" applyAlignment="1" applyProtection="1">
      <alignment horizontal="left" vertical="center"/>
    </xf>
    <xf numFmtId="0" fontId="37" fillId="0" borderId="37" xfId="0" applyFont="1" applyBorder="1" applyAlignment="1" applyProtection="1">
      <alignment vertical="center"/>
    </xf>
    <xf numFmtId="0" fontId="37" fillId="9" borderId="24" xfId="0" applyFont="1" applyFill="1" applyBorder="1" applyAlignment="1" applyProtection="1">
      <alignment vertical="center"/>
    </xf>
    <xf numFmtId="0" fontId="37" fillId="9" borderId="24" xfId="0" applyFont="1" applyFill="1" applyBorder="1" applyAlignment="1" applyProtection="1">
      <alignment horizontal="left" vertical="center"/>
    </xf>
    <xf numFmtId="3" fontId="37" fillId="9" borderId="24" xfId="0" applyNumberFormat="1" applyFont="1" applyFill="1" applyBorder="1" applyAlignment="1" applyProtection="1">
      <alignment vertical="center"/>
    </xf>
    <xf numFmtId="0" fontId="39" fillId="9" borderId="24" xfId="0" applyFont="1" applyFill="1" applyBorder="1" applyAlignment="1" applyProtection="1">
      <alignment vertical="center"/>
    </xf>
    <xf numFmtId="0" fontId="37" fillId="9" borderId="40" xfId="0" applyFont="1" applyFill="1" applyBorder="1" applyAlignment="1" applyProtection="1">
      <alignment vertical="center"/>
    </xf>
    <xf numFmtId="0" fontId="37" fillId="0" borderId="0" xfId="0" applyFont="1" applyBorder="1" applyAlignment="1" applyProtection="1">
      <alignment vertical="center"/>
    </xf>
    <xf numFmtId="2"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8" fillId="0" borderId="0" xfId="0" applyFont="1" applyAlignment="1" applyProtection="1">
      <alignment vertical="center"/>
    </xf>
    <xf numFmtId="0" fontId="37" fillId="0" borderId="0" xfId="0" applyFont="1" applyBorder="1" applyAlignment="1">
      <alignment vertical="center"/>
    </xf>
    <xf numFmtId="0" fontId="40" fillId="0" borderId="7" xfId="0" applyFont="1" applyBorder="1" applyAlignment="1" applyProtection="1">
      <alignment horizontal="left" vertical="center"/>
    </xf>
    <xf numFmtId="0" fontId="37" fillId="9" borderId="18" xfId="0" applyFont="1" applyFill="1" applyBorder="1" applyAlignment="1" applyProtection="1">
      <alignment vertical="center"/>
    </xf>
    <xf numFmtId="0" fontId="37" fillId="9" borderId="18" xfId="0" applyFont="1" applyFill="1" applyBorder="1" applyAlignment="1" applyProtection="1">
      <alignment horizontal="center" vertical="center"/>
    </xf>
    <xf numFmtId="3" fontId="37" fillId="9" borderId="18" xfId="0" applyNumberFormat="1" applyFont="1" applyFill="1" applyBorder="1" applyAlignment="1" applyProtection="1">
      <alignment vertical="center"/>
    </xf>
    <xf numFmtId="0" fontId="39" fillId="9" borderId="18" xfId="0" applyFont="1" applyFill="1" applyBorder="1" applyAlignment="1" applyProtection="1">
      <alignment vertical="center"/>
    </xf>
    <xf numFmtId="0" fontId="37" fillId="9" borderId="20" xfId="0" applyFont="1" applyFill="1" applyBorder="1" applyAlignment="1" applyProtection="1">
      <alignment vertical="center"/>
    </xf>
    <xf numFmtId="0" fontId="37" fillId="2" borderId="0" xfId="0" applyFont="1" applyFill="1" applyAlignment="1" applyProtection="1">
      <alignment vertical="center"/>
    </xf>
    <xf numFmtId="0" fontId="37" fillId="0" borderId="0" xfId="0" applyFont="1" applyAlignment="1" applyProtection="1">
      <alignment vertical="center"/>
    </xf>
    <xf numFmtId="0" fontId="37" fillId="0" borderId="0" xfId="0" applyFont="1" applyAlignment="1">
      <alignment vertical="center"/>
    </xf>
    <xf numFmtId="2" fontId="37" fillId="9" borderId="24" xfId="0" applyNumberFormat="1" applyFont="1" applyFill="1" applyBorder="1" applyAlignment="1" applyProtection="1">
      <alignment vertical="center"/>
    </xf>
    <xf numFmtId="0" fontId="40" fillId="0" borderId="5" xfId="0" applyFont="1" applyBorder="1" applyAlignment="1" applyProtection="1">
      <alignment horizontal="left" vertical="center"/>
    </xf>
    <xf numFmtId="2" fontId="37" fillId="9" borderId="18" xfId="0" applyNumberFormat="1" applyFont="1" applyFill="1" applyBorder="1" applyAlignment="1" applyProtection="1">
      <alignment vertical="center"/>
    </xf>
    <xf numFmtId="2" fontId="37" fillId="0" borderId="0" xfId="0" applyNumberFormat="1" applyFont="1" applyAlignment="1" applyProtection="1">
      <alignment vertical="center"/>
    </xf>
    <xf numFmtId="0" fontId="40" fillId="0" borderId="1" xfId="0" applyFont="1" applyBorder="1" applyAlignment="1" applyProtection="1">
      <alignment horizontal="left" vertical="center"/>
    </xf>
    <xf numFmtId="0" fontId="40" fillId="0" borderId="2" xfId="0" applyFont="1" applyBorder="1" applyAlignment="1" applyProtection="1">
      <alignment vertical="center"/>
    </xf>
    <xf numFmtId="0" fontId="40" fillId="0" borderId="12" xfId="0" applyFont="1" applyFill="1" applyBorder="1" applyAlignment="1" applyProtection="1">
      <alignment vertical="center"/>
    </xf>
    <xf numFmtId="3" fontId="40" fillId="0" borderId="12" xfId="0" quotePrefix="1" applyNumberFormat="1" applyFont="1" applyFill="1" applyBorder="1" applyAlignment="1" applyProtection="1">
      <alignment vertical="center"/>
    </xf>
    <xf numFmtId="2" fontId="40" fillId="0" borderId="12" xfId="0" applyNumberFormat="1" applyFont="1" applyFill="1" applyBorder="1" applyAlignment="1" applyProtection="1">
      <alignment vertical="center"/>
    </xf>
    <xf numFmtId="0" fontId="40" fillId="0" borderId="50" xfId="0" applyFont="1" applyBorder="1" applyAlignment="1" applyProtection="1">
      <alignment horizontal="left" vertical="center"/>
    </xf>
    <xf numFmtId="0" fontId="37" fillId="9" borderId="0" xfId="0" applyFont="1" applyFill="1" applyBorder="1" applyAlignment="1" applyProtection="1">
      <alignment vertical="center"/>
    </xf>
    <xf numFmtId="3" fontId="37" fillId="9" borderId="0" xfId="0" applyNumberFormat="1" applyFont="1" applyFill="1" applyBorder="1" applyAlignment="1" applyProtection="1">
      <alignment vertical="center"/>
    </xf>
    <xf numFmtId="2" fontId="37" fillId="9" borderId="0" xfId="0" applyNumberFormat="1" applyFont="1" applyFill="1" applyBorder="1" applyAlignment="1" applyProtection="1">
      <alignment vertical="center"/>
    </xf>
    <xf numFmtId="0" fontId="37" fillId="9" borderId="22" xfId="0" applyFont="1" applyFill="1" applyBorder="1" applyAlignment="1" applyProtection="1">
      <alignment vertical="center"/>
    </xf>
    <xf numFmtId="0" fontId="39" fillId="0" borderId="7" xfId="0" applyFont="1" applyBorder="1" applyAlignment="1" applyProtection="1">
      <alignment horizontal="left" vertical="center"/>
    </xf>
    <xf numFmtId="0" fontId="37" fillId="0" borderId="7" xfId="0" applyFont="1" applyBorder="1" applyAlignment="1" applyProtection="1">
      <alignment vertical="center"/>
    </xf>
    <xf numFmtId="0" fontId="38" fillId="0" borderId="1" xfId="0" applyFont="1" applyBorder="1" applyAlignment="1" applyProtection="1">
      <alignment horizontal="left"/>
    </xf>
    <xf numFmtId="3" fontId="44" fillId="0" borderId="2" xfId="0" applyNumberFormat="1" applyFont="1" applyBorder="1" applyAlignment="1" applyProtection="1">
      <alignment horizontal="right"/>
    </xf>
    <xf numFmtId="3" fontId="44" fillId="0" borderId="2" xfId="0" applyNumberFormat="1" applyFont="1" applyBorder="1" applyProtection="1"/>
    <xf numFmtId="0" fontId="40" fillId="0" borderId="1" xfId="0" applyFont="1" applyBorder="1" applyAlignment="1" applyProtection="1">
      <alignment horizontal="left"/>
    </xf>
    <xf numFmtId="3" fontId="40" fillId="0" borderId="2" xfId="0" applyNumberFormat="1" applyFont="1" applyBorder="1" applyAlignment="1" applyProtection="1">
      <alignment horizontal="right"/>
    </xf>
    <xf numFmtId="164" fontId="37" fillId="0" borderId="0" xfId="0" applyNumberFormat="1" applyFont="1" applyProtection="1"/>
    <xf numFmtId="0" fontId="47" fillId="0" borderId="2" xfId="0" applyFont="1" applyBorder="1" applyProtection="1"/>
    <xf numFmtId="0" fontId="48" fillId="0" borderId="2" xfId="0" applyFont="1" applyBorder="1" applyProtection="1"/>
    <xf numFmtId="3" fontId="48" fillId="0" borderId="2" xfId="0" applyNumberFormat="1" applyFont="1" applyBorder="1" applyAlignment="1" applyProtection="1">
      <alignment horizontal="right"/>
    </xf>
    <xf numFmtId="3" fontId="48" fillId="0" borderId="2" xfId="0" applyNumberFormat="1" applyFont="1" applyBorder="1" applyProtection="1"/>
    <xf numFmtId="2" fontId="48" fillId="0" borderId="2" xfId="0" applyNumberFormat="1" applyFont="1" applyBorder="1" applyProtection="1"/>
    <xf numFmtId="2" fontId="49" fillId="0" borderId="2" xfId="0" applyNumberFormat="1" applyFont="1" applyBorder="1" applyProtection="1"/>
    <xf numFmtId="9" fontId="37" fillId="0" borderId="0" xfId="0" applyNumberFormat="1" applyFont="1" applyProtection="1"/>
    <xf numFmtId="0" fontId="40" fillId="0" borderId="8" xfId="0" applyFont="1" applyBorder="1" applyAlignment="1" applyProtection="1">
      <alignment horizontal="left"/>
    </xf>
    <xf numFmtId="0" fontId="52" fillId="0" borderId="9" xfId="0" applyFont="1" applyBorder="1" applyProtection="1"/>
    <xf numFmtId="0" fontId="37" fillId="0" borderId="9" xfId="0" applyFont="1" applyFill="1" applyBorder="1" applyAlignment="1" applyProtection="1">
      <alignment vertical="center"/>
    </xf>
    <xf numFmtId="0" fontId="37" fillId="0" borderId="2" xfId="0" quotePrefix="1" applyFont="1" applyBorder="1" applyAlignment="1" applyProtection="1">
      <alignment horizontal="left"/>
    </xf>
    <xf numFmtId="0" fontId="53" fillId="0" borderId="0" xfId="0" applyFont="1"/>
    <xf numFmtId="2" fontId="39" fillId="0" borderId="2" xfId="0" applyNumberFormat="1" applyFont="1" applyBorder="1" applyProtection="1"/>
    <xf numFmtId="0" fontId="37" fillId="0" borderId="9" xfId="0" quotePrefix="1" applyFont="1" applyBorder="1" applyAlignment="1" applyProtection="1">
      <alignment horizontal="left"/>
    </xf>
    <xf numFmtId="0" fontId="38" fillId="0" borderId="11" xfId="0" applyFont="1" applyBorder="1" applyAlignment="1" applyProtection="1">
      <alignment vertical="center"/>
    </xf>
    <xf numFmtId="0" fontId="37" fillId="0" borderId="12" xfId="0" applyFont="1" applyBorder="1" applyAlignment="1" applyProtection="1">
      <alignment vertical="center"/>
    </xf>
    <xf numFmtId="0" fontId="38" fillId="0" borderId="50" xfId="0" applyFont="1" applyBorder="1" applyProtection="1"/>
    <xf numFmtId="0" fontId="37" fillId="0" borderId="3" xfId="0" applyFont="1" applyBorder="1" applyAlignment="1" applyProtection="1">
      <alignment horizontal="left"/>
    </xf>
    <xf numFmtId="3" fontId="40" fillId="0" borderId="3" xfId="0" applyNumberFormat="1" applyFont="1" applyBorder="1" applyAlignment="1" applyProtection="1">
      <alignment horizontal="right"/>
    </xf>
    <xf numFmtId="164" fontId="37" fillId="0" borderId="0" xfId="0" applyNumberFormat="1" applyFont="1" applyFill="1" applyProtection="1"/>
    <xf numFmtId="0" fontId="38" fillId="0" borderId="55" xfId="0" applyFont="1" applyBorder="1" applyProtection="1"/>
    <xf numFmtId="0" fontId="37" fillId="0" borderId="56" xfId="0" applyFont="1" applyBorder="1" applyProtection="1"/>
    <xf numFmtId="0" fontId="37" fillId="0" borderId="56" xfId="0" applyFont="1" applyBorder="1" applyAlignment="1" applyProtection="1">
      <alignment horizontal="center"/>
    </xf>
    <xf numFmtId="3" fontId="37" fillId="0" borderId="56" xfId="0" applyNumberFormat="1" applyFont="1" applyBorder="1" applyProtection="1"/>
    <xf numFmtId="0" fontId="55" fillId="0" borderId="56" xfId="0" applyFont="1" applyBorder="1" applyProtection="1"/>
    <xf numFmtId="0" fontId="37" fillId="9" borderId="14" xfId="0" applyFont="1" applyFill="1" applyBorder="1" applyAlignment="1" applyProtection="1">
      <alignment vertical="center"/>
    </xf>
    <xf numFmtId="0" fontId="37" fillId="0" borderId="0" xfId="0" applyFont="1" applyAlignment="1" applyProtection="1">
      <alignment horizontal="center"/>
    </xf>
    <xf numFmtId="0" fontId="30" fillId="0" borderId="0" xfId="0" applyFont="1" applyBorder="1"/>
    <xf numFmtId="0" fontId="30" fillId="0" borderId="0" xfId="0" applyFont="1" applyAlignment="1" applyProtection="1">
      <alignment vertical="center"/>
    </xf>
    <xf numFmtId="0" fontId="38" fillId="0" borderId="0" xfId="0" applyFont="1" applyBorder="1"/>
    <xf numFmtId="0" fontId="38" fillId="0" borderId="0" xfId="0" applyFont="1" applyFill="1" applyAlignment="1" applyProtection="1">
      <alignment vertical="center"/>
    </xf>
    <xf numFmtId="0" fontId="40" fillId="0" borderId="2" xfId="0" applyFont="1" applyFill="1" applyBorder="1" applyAlignment="1" applyProtection="1">
      <alignment horizontal="center" vertical="center"/>
    </xf>
    <xf numFmtId="0" fontId="38" fillId="0" borderId="0" xfId="0" applyFont="1" applyFill="1" applyProtection="1"/>
    <xf numFmtId="0" fontId="40" fillId="0" borderId="11" xfId="0" applyFont="1" applyBorder="1" applyProtection="1"/>
    <xf numFmtId="0" fontId="30" fillId="0" borderId="0" xfId="0" applyFont="1" applyFill="1" applyProtection="1"/>
    <xf numFmtId="1" fontId="31" fillId="0" borderId="0" xfId="0" applyNumberFormat="1" applyFont="1" applyFill="1" applyAlignment="1" applyProtection="1">
      <alignment horizontal="left" vertical="center"/>
    </xf>
    <xf numFmtId="0" fontId="31" fillId="0" borderId="0" xfId="0" applyFont="1" applyFill="1" applyAlignment="1" applyProtection="1">
      <alignment vertical="center"/>
    </xf>
    <xf numFmtId="3" fontId="37" fillId="0" borderId="0" xfId="0" applyNumberFormat="1" applyFont="1" applyAlignment="1" applyProtection="1">
      <alignment horizontal="left"/>
    </xf>
    <xf numFmtId="0" fontId="31" fillId="0" borderId="0" xfId="0" applyFont="1" applyFill="1" applyAlignment="1" applyProtection="1">
      <alignment horizontal="left"/>
    </xf>
    <xf numFmtId="1" fontId="40" fillId="0" borderId="0" xfId="0" applyNumberFormat="1" applyFont="1" applyAlignment="1" applyProtection="1">
      <alignment horizontal="left"/>
    </xf>
    <xf numFmtId="0" fontId="36" fillId="0" borderId="2" xfId="0" applyFont="1" applyBorder="1" applyAlignment="1" applyProtection="1">
      <alignment horizontal="left" vertical="center"/>
    </xf>
    <xf numFmtId="4" fontId="40" fillId="0" borderId="0" xfId="0" applyNumberFormat="1" applyFont="1" applyFill="1" applyAlignment="1" applyProtection="1">
      <alignment vertical="center"/>
    </xf>
    <xf numFmtId="0" fontId="37" fillId="0" borderId="0" xfId="0" applyFont="1" applyFill="1" applyBorder="1" applyProtection="1"/>
    <xf numFmtId="0" fontId="40" fillId="4" borderId="2" xfId="0" applyFont="1" applyFill="1" applyBorder="1" applyProtection="1"/>
    <xf numFmtId="0" fontId="40" fillId="4" borderId="2" xfId="0" applyFont="1" applyFill="1" applyBorder="1" applyAlignment="1" applyProtection="1">
      <alignment horizontal="left"/>
    </xf>
    <xf numFmtId="3" fontId="40" fillId="4" borderId="2" xfId="0" applyNumberFormat="1" applyFont="1" applyFill="1" applyBorder="1" applyProtection="1"/>
    <xf numFmtId="3" fontId="40" fillId="4" borderId="2" xfId="0" applyNumberFormat="1" applyFont="1" applyFill="1" applyBorder="1" applyAlignment="1" applyProtection="1">
      <alignment horizontal="left"/>
    </xf>
    <xf numFmtId="0" fontId="37" fillId="4" borderId="41" xfId="0" applyFont="1" applyFill="1" applyBorder="1" applyProtection="1"/>
    <xf numFmtId="0" fontId="37" fillId="0" borderId="0" xfId="0" applyFont="1" applyFill="1" applyBorder="1"/>
    <xf numFmtId="0" fontId="40" fillId="4" borderId="3" xfId="0" applyFont="1" applyFill="1" applyBorder="1" applyAlignment="1" applyProtection="1">
      <alignment vertical="center"/>
    </xf>
    <xf numFmtId="0" fontId="40" fillId="4" borderId="3" xfId="0" applyFont="1" applyFill="1" applyBorder="1" applyAlignment="1" applyProtection="1">
      <alignment horizontal="left" vertical="center"/>
    </xf>
    <xf numFmtId="3" fontId="40" fillId="4" borderId="3" xfId="0" applyNumberFormat="1" applyFont="1" applyFill="1" applyBorder="1" applyAlignment="1" applyProtection="1">
      <alignment vertical="center"/>
    </xf>
    <xf numFmtId="3" fontId="40" fillId="4" borderId="3" xfId="0" applyNumberFormat="1" applyFont="1" applyFill="1" applyBorder="1" applyAlignment="1" applyProtection="1">
      <alignment horizontal="left" vertical="center"/>
    </xf>
    <xf numFmtId="0" fontId="37" fillId="4" borderId="49" xfId="0" applyFont="1" applyFill="1" applyBorder="1" applyAlignment="1" applyProtection="1">
      <alignment vertical="center"/>
    </xf>
    <xf numFmtId="0" fontId="36" fillId="0" borderId="7" xfId="0" quotePrefix="1" applyFont="1" applyBorder="1" applyAlignment="1" applyProtection="1">
      <alignment horizontal="left" vertical="center"/>
    </xf>
    <xf numFmtId="0" fontId="40" fillId="4" borderId="7" xfId="0" applyFont="1" applyFill="1" applyBorder="1" applyAlignment="1" applyProtection="1">
      <alignment vertical="center"/>
    </xf>
    <xf numFmtId="0" fontId="40" fillId="4" borderId="7" xfId="0" applyFont="1" applyFill="1" applyBorder="1" applyAlignment="1" applyProtection="1">
      <alignment horizontal="left" vertical="center"/>
    </xf>
    <xf numFmtId="3" fontId="40" fillId="4" borderId="7" xfId="0" applyNumberFormat="1" applyFont="1" applyFill="1" applyBorder="1" applyAlignment="1" applyProtection="1">
      <alignment vertical="center"/>
    </xf>
    <xf numFmtId="3" fontId="40" fillId="4" borderId="7" xfId="0" applyNumberFormat="1" applyFont="1" applyFill="1" applyBorder="1" applyAlignment="1" applyProtection="1">
      <alignment horizontal="left" vertical="center"/>
    </xf>
    <xf numFmtId="0" fontId="37" fillId="4" borderId="6" xfId="0" applyFont="1" applyFill="1" applyBorder="1" applyAlignment="1" applyProtection="1">
      <alignment vertical="center"/>
    </xf>
    <xf numFmtId="0" fontId="58" fillId="0" borderId="33" xfId="0" applyFont="1" applyBorder="1" applyAlignment="1" applyProtection="1">
      <alignment horizontal="left"/>
    </xf>
    <xf numFmtId="164" fontId="58" fillId="0" borderId="33" xfId="0" applyNumberFormat="1" applyFont="1" applyBorder="1" applyAlignment="1" applyProtection="1">
      <alignment horizontal="left"/>
    </xf>
    <xf numFmtId="0" fontId="58" fillId="0" borderId="0" xfId="0" applyFont="1" applyBorder="1" applyAlignment="1" applyProtection="1">
      <alignment horizontal="left"/>
    </xf>
    <xf numFmtId="0" fontId="58" fillId="0" borderId="0" xfId="0" applyFont="1" applyAlignment="1" applyProtection="1">
      <alignment horizontal="fill"/>
    </xf>
    <xf numFmtId="0" fontId="58" fillId="0" borderId="0" xfId="0" applyFont="1" applyAlignment="1" applyProtection="1">
      <alignment horizontal="left"/>
    </xf>
    <xf numFmtId="0" fontId="36" fillId="0" borderId="2" xfId="0" quotePrefix="1" applyFont="1" applyBorder="1" applyAlignment="1" applyProtection="1">
      <alignment horizontal="left" vertical="center"/>
    </xf>
    <xf numFmtId="3" fontId="40" fillId="0" borderId="2" xfId="0" applyNumberFormat="1" applyFont="1" applyBorder="1" applyAlignment="1" applyProtection="1">
      <alignment vertical="center"/>
    </xf>
    <xf numFmtId="2" fontId="40" fillId="0" borderId="2" xfId="0" applyNumberFormat="1" applyFont="1" applyFill="1" applyBorder="1" applyAlignment="1" applyProtection="1">
      <alignment horizontal="right" vertical="center"/>
    </xf>
    <xf numFmtId="164" fontId="58" fillId="0" borderId="0" xfId="0" applyNumberFormat="1" applyFont="1" applyBorder="1" applyAlignment="1" applyProtection="1">
      <alignment horizontal="left"/>
    </xf>
    <xf numFmtId="0" fontId="59" fillId="0" borderId="0" xfId="0" applyFont="1" applyBorder="1" applyAlignment="1" applyProtection="1">
      <alignment horizontal="center"/>
    </xf>
    <xf numFmtId="0" fontId="59"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8" fillId="0" borderId="0" xfId="0" applyFont="1" applyAlignment="1" applyProtection="1">
      <alignment horizontal="center"/>
    </xf>
    <xf numFmtId="0" fontId="58" fillId="0" borderId="0" xfId="0" applyFont="1" applyAlignment="1" applyProtection="1">
      <alignment horizontal="right"/>
    </xf>
    <xf numFmtId="0" fontId="58" fillId="0" borderId="0" xfId="0" applyFont="1" applyProtection="1"/>
    <xf numFmtId="0" fontId="40" fillId="4" borderId="9" xfId="0" applyFont="1" applyFill="1" applyBorder="1" applyAlignment="1" applyProtection="1">
      <alignment vertical="center"/>
    </xf>
    <xf numFmtId="3" fontId="40" fillId="4" borderId="9" xfId="0" applyNumberFormat="1" applyFont="1" applyFill="1" applyBorder="1" applyAlignment="1" applyProtection="1">
      <alignment horizontal="left" vertical="center"/>
    </xf>
    <xf numFmtId="3" fontId="40" fillId="4" borderId="9" xfId="0" applyNumberFormat="1" applyFont="1" applyFill="1" applyBorder="1" applyAlignment="1" applyProtection="1">
      <alignment vertical="center"/>
    </xf>
    <xf numFmtId="0" fontId="40" fillId="4" borderId="9" xfId="0" applyFont="1" applyFill="1" applyBorder="1" applyAlignment="1" applyProtection="1">
      <alignment horizontal="left" vertical="center"/>
    </xf>
    <xf numFmtId="0" fontId="37" fillId="4" borderId="48" xfId="0" applyFont="1" applyFill="1" applyBorder="1" applyAlignment="1" applyProtection="1">
      <alignment vertical="center"/>
    </xf>
    <xf numFmtId="0" fontId="36" fillId="0" borderId="7" xfId="0" applyFont="1" applyBorder="1" applyAlignment="1" applyProtection="1">
      <alignment horizontal="left" vertical="center"/>
    </xf>
    <xf numFmtId="3" fontId="37" fillId="0" borderId="0" xfId="0" applyNumberFormat="1" applyFont="1" applyFill="1" applyBorder="1" applyAlignment="1" applyProtection="1">
      <alignment vertical="center"/>
    </xf>
    <xf numFmtId="164" fontId="58" fillId="0" borderId="0" xfId="0" applyNumberFormat="1" applyFont="1" applyBorder="1" applyProtection="1"/>
    <xf numFmtId="5" fontId="58" fillId="0" borderId="0" xfId="0" applyNumberFormat="1" applyFont="1" applyBorder="1" applyProtection="1"/>
    <xf numFmtId="2" fontId="40" fillId="0" borderId="2" xfId="0" applyNumberFormat="1" applyFont="1" applyBorder="1" applyAlignment="1" applyProtection="1">
      <alignment horizontal="right" vertical="center"/>
    </xf>
    <xf numFmtId="0" fontId="36" fillId="0" borderId="7" xfId="0" applyFont="1" applyBorder="1" applyAlignment="1" applyProtection="1">
      <alignment vertical="center"/>
    </xf>
    <xf numFmtId="2" fontId="37" fillId="0" borderId="0" xfId="0" applyNumberFormat="1" applyFont="1" applyFill="1" applyBorder="1" applyAlignment="1" applyProtection="1">
      <alignment vertical="center"/>
    </xf>
    <xf numFmtId="0" fontId="44" fillId="0" borderId="2" xfId="0" applyFont="1" applyBorder="1" applyAlignment="1" applyProtection="1">
      <alignment vertical="center"/>
    </xf>
    <xf numFmtId="0" fontId="43" fillId="0" borderId="2" xfId="0" applyFont="1" applyBorder="1" applyAlignment="1" applyProtection="1">
      <alignment vertical="center"/>
    </xf>
    <xf numFmtId="0" fontId="44" fillId="0" borderId="2" xfId="0" applyFont="1" applyFill="1" applyBorder="1" applyAlignment="1" applyProtection="1">
      <alignment vertical="center"/>
    </xf>
    <xf numFmtId="3" fontId="44" fillId="0" borderId="2" xfId="0" applyNumberFormat="1" applyFont="1" applyFill="1" applyBorder="1" applyAlignment="1" applyProtection="1">
      <alignment vertical="center"/>
    </xf>
    <xf numFmtId="3" fontId="44" fillId="0" borderId="2" xfId="0" applyNumberFormat="1" applyFont="1" applyBorder="1" applyAlignment="1" applyProtection="1">
      <alignment vertical="center"/>
    </xf>
    <xf numFmtId="2" fontId="44" fillId="0" borderId="2" xfId="0" applyNumberFormat="1" applyFont="1" applyFill="1" applyBorder="1" applyAlignment="1" applyProtection="1">
      <alignment vertical="center"/>
    </xf>
    <xf numFmtId="2" fontId="44" fillId="0" borderId="2" xfId="0" applyNumberFormat="1" applyFont="1" applyBorder="1" applyAlignment="1" applyProtection="1">
      <alignment horizontal="right" vertical="center"/>
    </xf>
    <xf numFmtId="0" fontId="36" fillId="0" borderId="9" xfId="0" applyFont="1" applyBorder="1" applyAlignment="1" applyProtection="1">
      <alignment vertical="center"/>
    </xf>
    <xf numFmtId="0" fontId="37" fillId="0" borderId="7" xfId="0" quotePrefix="1" applyFont="1" applyBorder="1" applyAlignment="1" applyProtection="1">
      <alignment horizontal="left" vertical="center"/>
    </xf>
    <xf numFmtId="0" fontId="34" fillId="0" borderId="2" xfId="0" applyFont="1" applyBorder="1" applyAlignment="1" applyProtection="1">
      <alignment horizontal="left"/>
    </xf>
    <xf numFmtId="2" fontId="37" fillId="0" borderId="0" xfId="0" applyNumberFormat="1" applyFont="1" applyFill="1" applyAlignment="1" applyProtection="1">
      <alignment horizontal="left" wrapText="1"/>
    </xf>
    <xf numFmtId="0" fontId="34" fillId="0" borderId="9" xfId="0" applyFont="1" applyBorder="1" applyAlignment="1" applyProtection="1">
      <alignment horizontal="left"/>
    </xf>
    <xf numFmtId="0" fontId="44" fillId="0" borderId="2" xfId="0" applyFont="1" applyBorder="1" applyAlignment="1" applyProtection="1">
      <alignment horizontal="left" vertical="center"/>
    </xf>
    <xf numFmtId="0" fontId="37" fillId="2" borderId="2" xfId="0" applyFont="1" applyFill="1" applyBorder="1" applyAlignment="1" applyProtection="1">
      <alignment vertical="center"/>
    </xf>
    <xf numFmtId="0" fontId="40" fillId="2" borderId="2" xfId="0" applyFont="1" applyFill="1" applyBorder="1" applyAlignment="1" applyProtection="1">
      <alignment vertical="center"/>
    </xf>
    <xf numFmtId="0" fontId="40" fillId="2" borderId="2" xfId="0" applyFont="1" applyFill="1" applyBorder="1" applyAlignment="1" applyProtection="1">
      <alignment horizontal="left" vertical="center"/>
    </xf>
    <xf numFmtId="3" fontId="40" fillId="2" borderId="2" xfId="0" applyNumberFormat="1" applyFont="1" applyFill="1" applyBorder="1" applyAlignment="1" applyProtection="1">
      <alignment vertical="center"/>
    </xf>
    <xf numFmtId="1" fontId="40" fillId="2" borderId="2" xfId="0" applyNumberFormat="1" applyFont="1" applyFill="1" applyBorder="1" applyAlignment="1" applyProtection="1">
      <alignment vertical="center"/>
    </xf>
    <xf numFmtId="2" fontId="40" fillId="2" borderId="2" xfId="0" applyNumberFormat="1" applyFont="1" applyFill="1" applyBorder="1" applyAlignment="1" applyProtection="1">
      <alignment vertical="center"/>
    </xf>
    <xf numFmtId="0" fontId="37" fillId="4" borderId="41" xfId="0" applyFont="1" applyFill="1" applyBorder="1" applyAlignment="1" applyProtection="1">
      <alignment vertical="center"/>
    </xf>
    <xf numFmtId="2" fontId="37" fillId="0" borderId="0" xfId="0" applyNumberFormat="1" applyFont="1" applyFill="1" applyBorder="1" applyProtection="1"/>
    <xf numFmtId="0" fontId="40" fillId="4" borderId="7" xfId="0" quotePrefix="1" applyFont="1" applyFill="1" applyBorder="1" applyAlignment="1" applyProtection="1">
      <alignment horizontal="left" vertical="center"/>
    </xf>
    <xf numFmtId="2" fontId="40" fillId="4" borderId="7" xfId="0" applyNumberFormat="1" applyFont="1" applyFill="1" applyBorder="1" applyAlignment="1" applyProtection="1">
      <alignment vertical="center"/>
    </xf>
    <xf numFmtId="3" fontId="37" fillId="0" borderId="0" xfId="0" applyNumberFormat="1" applyFont="1" applyFill="1" applyBorder="1" applyProtection="1"/>
    <xf numFmtId="0" fontId="40" fillId="4" borderId="2" xfId="0" applyFont="1" applyFill="1" applyBorder="1" applyAlignment="1" applyProtection="1">
      <alignment vertical="center"/>
    </xf>
    <xf numFmtId="3" fontId="40" fillId="4" borderId="2" xfId="0" applyNumberFormat="1" applyFont="1" applyFill="1" applyBorder="1" applyAlignment="1" applyProtection="1">
      <alignment vertical="center"/>
    </xf>
    <xf numFmtId="1" fontId="40" fillId="4" borderId="2" xfId="0" applyNumberFormat="1" applyFont="1" applyFill="1" applyBorder="1" applyAlignment="1" applyProtection="1">
      <alignment vertical="center"/>
    </xf>
    <xf numFmtId="0" fontId="34" fillId="0" borderId="2" xfId="0" applyFont="1" applyBorder="1" applyProtection="1"/>
    <xf numFmtId="0" fontId="37" fillId="2" borderId="2" xfId="0" applyFont="1" applyFill="1" applyBorder="1" applyAlignment="1" applyProtection="1">
      <alignment horizontal="left"/>
    </xf>
    <xf numFmtId="0" fontId="34" fillId="0" borderId="9" xfId="0" applyFont="1" applyBorder="1" applyProtection="1"/>
    <xf numFmtId="0" fontId="35" fillId="0" borderId="7" xfId="0" applyFont="1" applyBorder="1" applyProtection="1"/>
    <xf numFmtId="0" fontId="43" fillId="0" borderId="9" xfId="0" applyFont="1" applyBorder="1" applyProtection="1"/>
    <xf numFmtId="2" fontId="37" fillId="0" borderId="0" xfId="0" applyNumberFormat="1" applyFont="1" applyBorder="1" applyProtection="1"/>
    <xf numFmtId="2" fontId="37" fillId="0" borderId="0" xfId="0" quotePrefix="1" applyNumberFormat="1" applyFont="1" applyFill="1" applyBorder="1" applyAlignment="1" applyProtection="1">
      <alignment horizontal="left" vertical="center"/>
    </xf>
    <xf numFmtId="0" fontId="40" fillId="4" borderId="12" xfId="0" applyFont="1" applyFill="1" applyBorder="1" applyAlignment="1" applyProtection="1">
      <alignment vertical="center"/>
    </xf>
    <xf numFmtId="3" fontId="40" fillId="4" borderId="12" xfId="0" applyNumberFormat="1" applyFont="1" applyFill="1" applyBorder="1" applyAlignment="1" applyProtection="1">
      <alignment vertical="center"/>
    </xf>
    <xf numFmtId="0" fontId="40" fillId="0" borderId="0" xfId="0" applyFont="1" applyAlignment="1" applyProtection="1">
      <alignment horizontal="left"/>
    </xf>
    <xf numFmtId="3" fontId="40" fillId="0" borderId="0" xfId="0" applyNumberFormat="1" applyFont="1" applyAlignment="1" applyProtection="1">
      <alignment horizontal="left"/>
    </xf>
    <xf numFmtId="1" fontId="40" fillId="0" borderId="0" xfId="0" applyNumberFormat="1" applyFont="1" applyAlignment="1" applyProtection="1">
      <alignment horizontal="right"/>
    </xf>
    <xf numFmtId="0" fontId="53" fillId="0" borderId="0" xfId="0" applyFont="1" applyProtection="1"/>
    <xf numFmtId="165" fontId="53" fillId="0" borderId="0" xfId="0" applyNumberFormat="1" applyFont="1" applyProtection="1"/>
    <xf numFmtId="1" fontId="37" fillId="0" borderId="0" xfId="0" applyNumberFormat="1" applyFont="1" applyProtection="1"/>
    <xf numFmtId="0" fontId="0" fillId="0" borderId="4" xfId="0" applyBorder="1" applyProtection="1"/>
    <xf numFmtId="0" fontId="0" fillId="0" borderId="10" xfId="0" applyBorder="1" applyProtection="1"/>
    <xf numFmtId="0" fontId="0" fillId="0" borderId="22" xfId="0" applyBorder="1" applyProtection="1"/>
    <xf numFmtId="0" fontId="0" fillId="2" borderId="0" xfId="0" applyFill="1" applyBorder="1" applyProtection="1"/>
    <xf numFmtId="0" fontId="4" fillId="0" borderId="46" xfId="0" quotePrefix="1" applyFont="1" applyFill="1" applyBorder="1" applyAlignment="1" applyProtection="1">
      <alignment horizontal="left" vertical="center"/>
    </xf>
    <xf numFmtId="3" fontId="5" fillId="6" borderId="2" xfId="0" applyNumberFormat="1" applyFont="1" applyFill="1" applyBorder="1" applyProtection="1">
      <protection locked="0"/>
    </xf>
    <xf numFmtId="0" fontId="4" fillId="4" borderId="7" xfId="0" applyFont="1" applyFill="1" applyBorder="1" applyAlignment="1" applyProtection="1"/>
    <xf numFmtId="0" fontId="5" fillId="0" borderId="10" xfId="0" applyFont="1" applyBorder="1" applyAlignment="1" applyProtection="1">
      <alignment vertical="center"/>
    </xf>
    <xf numFmtId="0" fontId="4" fillId="10" borderId="0" xfId="0" applyFont="1" applyFill="1" applyProtection="1"/>
    <xf numFmtId="0" fontId="4" fillId="3" borderId="0" xfId="0" applyFont="1" applyFill="1" applyProtection="1"/>
    <xf numFmtId="0" fontId="4" fillId="11" borderId="0" xfId="0" applyFont="1" applyFill="1" applyProtection="1"/>
    <xf numFmtId="0" fontId="4" fillId="12" borderId="0" xfId="0" applyFont="1" applyFill="1" applyProtection="1"/>
    <xf numFmtId="14" fontId="15" fillId="0" borderId="0" xfId="0" applyNumberFormat="1" applyFont="1" applyProtection="1"/>
    <xf numFmtId="172" fontId="15" fillId="0" borderId="0" xfId="0" applyNumberFormat="1" applyFont="1" applyProtection="1"/>
    <xf numFmtId="0" fontId="4" fillId="13" borderId="0" xfId="0" applyFont="1" applyFill="1" applyProtection="1"/>
    <xf numFmtId="0" fontId="4" fillId="14" borderId="0" xfId="0" applyFont="1" applyFill="1" applyProtection="1"/>
    <xf numFmtId="2" fontId="40" fillId="13" borderId="9" xfId="0" applyNumberFormat="1" applyFont="1" applyFill="1" applyBorder="1" applyAlignment="1" applyProtection="1">
      <alignment horizontal="right" vertical="center"/>
    </xf>
    <xf numFmtId="2" fontId="40" fillId="13" borderId="9" xfId="0" applyNumberFormat="1" applyFont="1" applyFill="1" applyBorder="1" applyAlignment="1" applyProtection="1">
      <alignment horizontal="right"/>
    </xf>
    <xf numFmtId="4" fontId="40" fillId="13" borderId="9" xfId="0" applyNumberFormat="1" applyFont="1" applyFill="1" applyBorder="1" applyProtection="1"/>
    <xf numFmtId="4" fontId="40" fillId="14" borderId="47" xfId="0" applyNumberFormat="1" applyFont="1" applyFill="1" applyBorder="1" applyProtection="1"/>
    <xf numFmtId="2" fontId="37" fillId="13" borderId="9" xfId="0" applyNumberFormat="1" applyFont="1" applyFill="1" applyBorder="1" applyAlignment="1" applyProtection="1">
      <alignment horizontal="right"/>
    </xf>
    <xf numFmtId="2" fontId="37" fillId="13" borderId="3" xfId="0" applyNumberFormat="1" applyFont="1" applyFill="1" applyBorder="1" applyAlignment="1" applyProtection="1">
      <alignment horizontal="right"/>
    </xf>
    <xf numFmtId="2" fontId="37" fillId="14" borderId="56" xfId="0" applyNumberFormat="1" applyFont="1" applyFill="1" applyBorder="1" applyAlignment="1" applyProtection="1">
      <alignment horizontal="right"/>
    </xf>
    <xf numFmtId="2" fontId="39" fillId="14" borderId="12" xfId="0" applyNumberFormat="1" applyFont="1" applyFill="1" applyBorder="1" applyProtection="1"/>
    <xf numFmtId="39" fontId="40" fillId="14" borderId="21" xfId="0" applyNumberFormat="1" applyFont="1" applyFill="1" applyBorder="1" applyProtection="1"/>
    <xf numFmtId="2" fontId="39" fillId="2" borderId="2" xfId="0" applyNumberFormat="1" applyFont="1" applyFill="1" applyBorder="1" applyProtection="1"/>
    <xf numFmtId="2" fontId="39" fillId="13" borderId="0" xfId="0" applyNumberFormat="1" applyFont="1" applyFill="1" applyBorder="1" applyProtection="1"/>
    <xf numFmtId="2" fontId="39" fillId="13" borderId="33" xfId="0" applyNumberFormat="1" applyFont="1" applyFill="1" applyBorder="1" applyProtection="1"/>
    <xf numFmtId="2" fontId="39" fillId="13" borderId="74" xfId="0" applyNumberFormat="1" applyFont="1" applyFill="1" applyBorder="1" applyProtection="1"/>
    <xf numFmtId="39" fontId="40" fillId="13" borderId="75" xfId="0" applyNumberFormat="1" applyFont="1" applyFill="1" applyBorder="1" applyProtection="1"/>
    <xf numFmtId="2" fontId="40" fillId="13" borderId="0" xfId="0" applyNumberFormat="1" applyFont="1" applyFill="1" applyBorder="1" applyAlignment="1" applyProtection="1">
      <alignment horizontal="right" vertical="center"/>
    </xf>
    <xf numFmtId="2" fontId="40" fillId="13" borderId="75" xfId="0" applyNumberFormat="1" applyFont="1" applyFill="1" applyBorder="1" applyAlignment="1" applyProtection="1">
      <alignment horizontal="right" vertical="center"/>
    </xf>
    <xf numFmtId="2" fontId="40" fillId="13" borderId="74" xfId="0" applyNumberFormat="1" applyFont="1" applyFill="1" applyBorder="1" applyAlignment="1" applyProtection="1">
      <alignment horizontal="right"/>
    </xf>
    <xf numFmtId="2" fontId="40" fillId="13" borderId="25" xfId="0" applyNumberFormat="1" applyFont="1" applyFill="1" applyBorder="1" applyAlignment="1" applyProtection="1">
      <alignment horizontal="right"/>
    </xf>
    <xf numFmtId="0" fontId="4" fillId="4" borderId="16" xfId="0" applyFont="1" applyFill="1" applyBorder="1" applyProtection="1"/>
    <xf numFmtId="0" fontId="37" fillId="4" borderId="27" xfId="0" applyFont="1" applyFill="1" applyBorder="1" applyProtection="1"/>
    <xf numFmtId="2" fontId="40" fillId="2" borderId="2" xfId="0" applyNumberFormat="1" applyFont="1" applyFill="1" applyBorder="1" applyAlignment="1" applyProtection="1">
      <alignment horizontal="right" vertical="center"/>
    </xf>
    <xf numFmtId="166" fontId="40" fillId="2" borderId="2" xfId="0" applyNumberFormat="1" applyFont="1" applyFill="1" applyBorder="1" applyProtection="1"/>
    <xf numFmtId="0" fontId="4" fillId="0" borderId="0" xfId="0" applyFont="1" applyProtection="1">
      <protection locked="0"/>
    </xf>
    <xf numFmtId="0" fontId="16" fillId="0" borderId="0" xfId="0" applyFont="1" applyProtection="1">
      <protection locked="0"/>
    </xf>
    <xf numFmtId="0" fontId="0" fillId="0" borderId="0" xfId="0" applyBorder="1" applyProtection="1">
      <protection locked="0"/>
    </xf>
    <xf numFmtId="0" fontId="0" fillId="0" borderId="0" xfId="0" applyFill="1" applyBorder="1" applyProtection="1">
      <protection locked="0"/>
    </xf>
    <xf numFmtId="0" fontId="3" fillId="6" borderId="2" xfId="0" applyFont="1" applyFill="1" applyBorder="1" applyProtection="1">
      <protection locked="0"/>
    </xf>
    <xf numFmtId="49" fontId="20" fillId="0" borderId="0" xfId="0" applyNumberFormat="1" applyFont="1" applyAlignment="1" applyProtection="1">
      <alignment horizontal="center"/>
      <protection locked="0"/>
    </xf>
    <xf numFmtId="0" fontId="24" fillId="0" borderId="0" xfId="0" applyFont="1" applyProtection="1">
      <protection locked="0"/>
    </xf>
    <xf numFmtId="171" fontId="22" fillId="0" borderId="0" xfId="2" applyNumberFormat="1" applyFont="1" applyFill="1" applyBorder="1" applyProtection="1">
      <protection locked="0"/>
    </xf>
    <xf numFmtId="0" fontId="0" fillId="0" borderId="0" xfId="0" applyAlignment="1" applyProtection="1">
      <alignment horizontal="center"/>
      <protection locked="0"/>
    </xf>
    <xf numFmtId="0" fontId="25" fillId="0" borderId="0" xfId="0" applyFont="1" applyBorder="1" applyProtection="1">
      <protection locked="0"/>
    </xf>
    <xf numFmtId="0" fontId="25" fillId="0" borderId="53" xfId="0" applyFont="1" applyBorder="1" applyAlignment="1" applyProtection="1">
      <alignment horizontal="right"/>
      <protection locked="0"/>
    </xf>
    <xf numFmtId="0" fontId="6" fillId="0" borderId="76" xfId="0" applyFont="1" applyBorder="1" applyAlignment="1" applyProtection="1">
      <alignment horizontal="right"/>
      <protection locked="0"/>
    </xf>
    <xf numFmtId="3" fontId="0" fillId="0" borderId="77" xfId="0" applyNumberFormat="1" applyBorder="1" applyProtection="1">
      <protection locked="0"/>
    </xf>
    <xf numFmtId="0" fontId="0" fillId="0" borderId="77" xfId="0" applyBorder="1" applyProtection="1">
      <protection locked="0"/>
    </xf>
    <xf numFmtId="0" fontId="0" fillId="0" borderId="78" xfId="0" applyBorder="1" applyAlignment="1" applyProtection="1">
      <alignment horizontal="center"/>
      <protection locked="0"/>
    </xf>
    <xf numFmtId="0" fontId="25" fillId="0" borderId="0" xfId="0" applyFont="1" applyBorder="1" applyAlignment="1" applyProtection="1">
      <alignment horizontal="right"/>
      <protection locked="0"/>
    </xf>
    <xf numFmtId="3" fontId="27" fillId="0" borderId="2" xfId="0" applyNumberFormat="1" applyFont="1" applyBorder="1" applyProtection="1">
      <protection locked="0"/>
    </xf>
    <xf numFmtId="0" fontId="3" fillId="0" borderId="79" xfId="0" applyFont="1" applyBorder="1" applyAlignment="1" applyProtection="1">
      <alignment horizontal="right" vertical="center"/>
      <protection locked="0"/>
    </xf>
    <xf numFmtId="3" fontId="3" fillId="0" borderId="0" xfId="0" applyNumberFormat="1" applyFont="1" applyBorder="1" applyAlignment="1" applyProtection="1">
      <alignment vertical="center"/>
      <protection locked="0"/>
    </xf>
    <xf numFmtId="0" fontId="0" fillId="0" borderId="80" xfId="0" applyBorder="1" applyAlignment="1" applyProtection="1">
      <alignment horizontal="center"/>
      <protection locked="0"/>
    </xf>
    <xf numFmtId="0" fontId="3" fillId="0" borderId="81" xfId="0" applyFont="1" applyBorder="1" applyAlignment="1" applyProtection="1">
      <alignment horizontal="right" vertical="center"/>
      <protection locked="0"/>
    </xf>
    <xf numFmtId="3" fontId="22" fillId="0" borderId="82" xfId="0" applyNumberFormat="1" applyFont="1" applyBorder="1" applyAlignment="1" applyProtection="1">
      <alignment vertical="center"/>
      <protection locked="0"/>
    </xf>
    <xf numFmtId="0" fontId="0" fillId="0" borderId="82" xfId="0" applyBorder="1" applyProtection="1">
      <protection locked="0"/>
    </xf>
    <xf numFmtId="0" fontId="3" fillId="0" borderId="83" xfId="0" applyFont="1" applyBorder="1" applyAlignment="1" applyProtection="1">
      <alignment vertical="center"/>
      <protection locked="0"/>
    </xf>
    <xf numFmtId="3" fontId="0" fillId="0" borderId="0" xfId="0" applyNumberFormat="1" applyProtection="1">
      <protection locked="0"/>
    </xf>
    <xf numFmtId="0" fontId="0" fillId="0" borderId="84" xfId="0" applyBorder="1" applyAlignment="1" applyProtection="1">
      <alignment horizontal="right"/>
      <protection locked="0"/>
    </xf>
    <xf numFmtId="3" fontId="0" fillId="0" borderId="85" xfId="0" applyNumberFormat="1" applyBorder="1" applyProtection="1">
      <protection locked="0"/>
    </xf>
    <xf numFmtId="3" fontId="22" fillId="0" borderId="85" xfId="0" applyNumberFormat="1" applyFont="1" applyBorder="1" applyProtection="1">
      <protection locked="0"/>
    </xf>
    <xf numFmtId="0" fontId="0" fillId="0" borderId="86" xfId="0" applyBorder="1" applyAlignment="1" applyProtection="1">
      <alignment horizontal="center"/>
      <protection locked="0"/>
    </xf>
    <xf numFmtId="37" fontId="25" fillId="0" borderId="2" xfId="0" applyNumberFormat="1" applyFont="1" applyFill="1" applyBorder="1" applyProtection="1">
      <protection locked="0"/>
    </xf>
    <xf numFmtId="0" fontId="0" fillId="0" borderId="81" xfId="0" quotePrefix="1" applyBorder="1" applyAlignment="1" applyProtection="1">
      <alignment horizontal="right"/>
      <protection locked="0"/>
    </xf>
    <xf numFmtId="3" fontId="22" fillId="0" borderId="82" xfId="0" applyNumberFormat="1" applyFont="1" applyBorder="1" applyProtection="1">
      <protection locked="0"/>
    </xf>
    <xf numFmtId="3" fontId="3" fillId="0" borderId="82" xfId="0" applyNumberFormat="1" applyFont="1" applyBorder="1" applyProtection="1">
      <protection locked="0"/>
    </xf>
    <xf numFmtId="0" fontId="0" fillId="0" borderId="83" xfId="0" quotePrefix="1" applyBorder="1" applyAlignment="1" applyProtection="1">
      <alignment horizontal="center"/>
      <protection locked="0"/>
    </xf>
    <xf numFmtId="0" fontId="0" fillId="0" borderId="0" xfId="0" quotePrefix="1" applyAlignment="1" applyProtection="1">
      <alignment horizontal="left"/>
      <protection locked="0"/>
    </xf>
    <xf numFmtId="0" fontId="3" fillId="0" borderId="87" xfId="0" applyFont="1" applyBorder="1" applyAlignment="1" applyProtection="1">
      <alignment horizontal="right" vertical="center"/>
      <protection locked="0"/>
    </xf>
    <xf numFmtId="3" fontId="22" fillId="0" borderId="88" xfId="0" applyNumberFormat="1" applyFont="1" applyBorder="1" applyProtection="1">
      <protection locked="0"/>
    </xf>
    <xf numFmtId="0" fontId="0" fillId="0" borderId="0" xfId="0" applyAlignment="1" applyProtection="1">
      <alignment horizontal="right"/>
      <protection locked="0"/>
    </xf>
    <xf numFmtId="169" fontId="3" fillId="0" borderId="0" xfId="1" applyNumberFormat="1" applyProtection="1">
      <protection locked="0"/>
    </xf>
    <xf numFmtId="0" fontId="25" fillId="12" borderId="2" xfId="0" applyFont="1" applyFill="1" applyBorder="1" applyProtection="1">
      <protection locked="0"/>
    </xf>
    <xf numFmtId="165" fontId="25" fillId="12" borderId="2" xfId="0" applyNumberFormat="1" applyFont="1" applyFill="1" applyBorder="1" applyProtection="1">
      <protection locked="0"/>
    </xf>
    <xf numFmtId="0" fontId="8" fillId="15" borderId="0" xfId="0" applyFont="1" applyFill="1" applyAlignment="1" applyProtection="1">
      <alignment horizontal="center"/>
      <protection locked="0"/>
    </xf>
    <xf numFmtId="0" fontId="7" fillId="15" borderId="0" xfId="0" applyFont="1" applyFill="1" applyAlignment="1" applyProtection="1">
      <alignment horizontal="center"/>
      <protection locked="0"/>
    </xf>
    <xf numFmtId="0" fontId="77" fillId="2" borderId="60" xfId="0" applyFont="1" applyFill="1" applyBorder="1" applyAlignment="1" applyProtection="1">
      <alignment horizontal="left"/>
    </xf>
    <xf numFmtId="0" fontId="0" fillId="2" borderId="28" xfId="0" applyFill="1" applyBorder="1" applyProtection="1"/>
    <xf numFmtId="169" fontId="93" fillId="6" borderId="2" xfId="1" applyNumberFormat="1" applyFont="1" applyFill="1" applyBorder="1" applyAlignment="1" applyProtection="1">
      <alignment horizontal="center"/>
      <protection locked="0"/>
    </xf>
    <xf numFmtId="171" fontId="93" fillId="6" borderId="2" xfId="2" applyNumberFormat="1" applyFont="1" applyFill="1" applyBorder="1" applyAlignment="1" applyProtection="1">
      <alignment horizontal="center"/>
      <protection locked="0"/>
    </xf>
    <xf numFmtId="0" fontId="77" fillId="0" borderId="0" xfId="0" applyFont="1" applyProtection="1"/>
    <xf numFmtId="0" fontId="100" fillId="0" borderId="0" xfId="0" applyFont="1" applyProtection="1"/>
    <xf numFmtId="0" fontId="98" fillId="0" borderId="30" xfId="0" applyFont="1" applyFill="1" applyBorder="1" applyAlignment="1" applyProtection="1">
      <alignment horizontal="center" wrapText="1"/>
    </xf>
    <xf numFmtId="0" fontId="99" fillId="0" borderId="31" xfId="0" applyFont="1" applyBorder="1" applyAlignment="1" applyProtection="1">
      <alignment wrapText="1"/>
    </xf>
    <xf numFmtId="170" fontId="98" fillId="0" borderId="31" xfId="2" applyNumberFormat="1" applyFont="1" applyFill="1" applyBorder="1" applyAlignment="1" applyProtection="1">
      <alignment horizontal="center" wrapText="1"/>
    </xf>
    <xf numFmtId="0" fontId="99" fillId="0" borderId="31" xfId="0" applyFont="1" applyBorder="1" applyProtection="1"/>
    <xf numFmtId="0" fontId="74" fillId="0" borderId="31" xfId="0" applyFont="1" applyFill="1" applyBorder="1" applyAlignment="1" applyProtection="1">
      <alignment wrapText="1"/>
    </xf>
    <xf numFmtId="0" fontId="98" fillId="0" borderId="31" xfId="0" applyFont="1" applyFill="1" applyBorder="1" applyAlignment="1" applyProtection="1">
      <alignment horizontal="center" wrapText="1"/>
    </xf>
    <xf numFmtId="0" fontId="98" fillId="0" borderId="62" xfId="0" applyFont="1" applyFill="1" applyBorder="1" applyAlignment="1" applyProtection="1">
      <alignment horizontal="center" wrapText="1"/>
    </xf>
    <xf numFmtId="0" fontId="97" fillId="9" borderId="89" xfId="0" applyFont="1" applyFill="1" applyBorder="1" applyProtection="1"/>
    <xf numFmtId="0" fontId="97" fillId="9" borderId="90" xfId="0" applyFont="1" applyFill="1" applyBorder="1" applyAlignment="1" applyProtection="1">
      <alignment horizontal="center"/>
    </xf>
    <xf numFmtId="0" fontId="97" fillId="9" borderId="18" xfId="0" applyFont="1" applyFill="1" applyBorder="1" applyAlignment="1" applyProtection="1">
      <alignment horizontal="center"/>
    </xf>
    <xf numFmtId="0" fontId="95" fillId="9" borderId="20" xfId="0" applyFont="1" applyFill="1" applyBorder="1" applyProtection="1"/>
    <xf numFmtId="0" fontId="96" fillId="0" borderId="0" xfId="0" applyFont="1" applyFill="1" applyBorder="1" applyProtection="1"/>
    <xf numFmtId="0" fontId="89" fillId="0" borderId="0" xfId="0" applyFont="1" applyBorder="1" applyProtection="1"/>
    <xf numFmtId="170" fontId="91" fillId="0" borderId="28" xfId="2" applyNumberFormat="1" applyFont="1" applyFill="1" applyBorder="1" applyProtection="1"/>
    <xf numFmtId="170" fontId="91" fillId="0" borderId="0" xfId="2" applyNumberFormat="1" applyFont="1" applyFill="1" applyBorder="1" applyAlignment="1" applyProtection="1">
      <alignment horizontal="center"/>
    </xf>
    <xf numFmtId="0" fontId="91" fillId="0" borderId="0" xfId="0" applyFont="1" applyFill="1" applyBorder="1" applyAlignment="1" applyProtection="1">
      <alignment horizontal="center"/>
    </xf>
    <xf numFmtId="0" fontId="75" fillId="0" borderId="0" xfId="0" applyFont="1" applyFill="1" applyBorder="1" applyProtection="1"/>
    <xf numFmtId="0" fontId="91" fillId="0" borderId="22" xfId="0" applyFont="1" applyFill="1" applyBorder="1" applyAlignment="1" applyProtection="1">
      <alignment horizontal="center"/>
    </xf>
    <xf numFmtId="0" fontId="95" fillId="2" borderId="50" xfId="0" applyFont="1" applyFill="1" applyBorder="1" applyProtection="1"/>
    <xf numFmtId="0" fontId="95" fillId="2" borderId="91" xfId="0" applyFont="1" applyFill="1" applyBorder="1" applyAlignment="1" applyProtection="1">
      <alignment horizontal="center"/>
    </xf>
    <xf numFmtId="0" fontId="95" fillId="2" borderId="33" xfId="0" applyFont="1" applyFill="1" applyBorder="1" applyAlignment="1" applyProtection="1">
      <alignment horizontal="center"/>
    </xf>
    <xf numFmtId="0" fontId="95" fillId="2" borderId="63" xfId="0" applyFont="1" applyFill="1" applyBorder="1" applyAlignment="1" applyProtection="1">
      <alignment horizontal="center"/>
    </xf>
    <xf numFmtId="0" fontId="96" fillId="0" borderId="0" xfId="0" applyFont="1" applyFill="1" applyBorder="1" applyAlignment="1" applyProtection="1">
      <alignment horizontal="center"/>
    </xf>
    <xf numFmtId="0" fontId="95" fillId="0" borderId="32" xfId="0" applyFont="1" applyFill="1" applyBorder="1" applyProtection="1"/>
    <xf numFmtId="0" fontId="95" fillId="0" borderId="33" xfId="0" applyFont="1" applyFill="1" applyBorder="1" applyAlignment="1" applyProtection="1">
      <alignment horizontal="center"/>
    </xf>
    <xf numFmtId="0" fontId="95" fillId="0" borderId="63" xfId="0" applyFont="1" applyFill="1" applyBorder="1" applyAlignment="1" applyProtection="1">
      <alignment horizontal="center"/>
    </xf>
    <xf numFmtId="0" fontId="75" fillId="0" borderId="10" xfId="0" applyFont="1" applyBorder="1" applyAlignment="1" applyProtection="1">
      <alignment horizontal="left"/>
    </xf>
    <xf numFmtId="169" fontId="93" fillId="2" borderId="2" xfId="1" applyNumberFormat="1" applyFont="1" applyFill="1" applyBorder="1" applyAlignment="1" applyProtection="1">
      <alignment horizontal="center"/>
    </xf>
    <xf numFmtId="0" fontId="75" fillId="2" borderId="92" xfId="0" applyFont="1" applyFill="1" applyBorder="1" applyProtection="1"/>
    <xf numFmtId="169" fontId="83" fillId="2" borderId="2" xfId="1" applyNumberFormat="1" applyFont="1" applyFill="1" applyBorder="1" applyAlignment="1" applyProtection="1">
      <alignment horizontal="center"/>
    </xf>
    <xf numFmtId="169" fontId="83" fillId="2" borderId="4" xfId="1" applyNumberFormat="1" applyFont="1" applyFill="1" applyBorder="1" applyAlignment="1" applyProtection="1">
      <alignment horizontal="center"/>
    </xf>
    <xf numFmtId="169" fontId="74" fillId="2" borderId="41" xfId="0" applyNumberFormat="1" applyFont="1" applyFill="1" applyBorder="1" applyProtection="1"/>
    <xf numFmtId="0" fontId="80" fillId="9" borderId="32" xfId="0" applyFont="1" applyFill="1" applyBorder="1" applyProtection="1"/>
    <xf numFmtId="0" fontId="85" fillId="9" borderId="33" xfId="0" applyFont="1" applyFill="1" applyBorder="1" applyProtection="1"/>
    <xf numFmtId="0" fontId="85" fillId="9" borderId="63" xfId="0" applyFont="1" applyFill="1" applyBorder="1" applyProtection="1"/>
    <xf numFmtId="0" fontId="75" fillId="0" borderId="10" xfId="0" applyFont="1" applyFill="1" applyBorder="1" applyProtection="1"/>
    <xf numFmtId="9" fontId="93" fillId="2" borderId="2" xfId="3" applyFont="1" applyFill="1" applyBorder="1" applyAlignment="1" applyProtection="1">
      <alignment horizontal="right"/>
    </xf>
    <xf numFmtId="9" fontId="75" fillId="0" borderId="2" xfId="3" applyFont="1" applyFill="1" applyBorder="1" applyProtection="1"/>
    <xf numFmtId="0" fontId="0" fillId="2" borderId="10" xfId="0" applyFill="1" applyBorder="1" applyProtection="1"/>
    <xf numFmtId="0" fontId="0" fillId="2" borderId="22" xfId="0" applyFill="1" applyBorder="1" applyProtection="1"/>
    <xf numFmtId="9" fontId="83" fillId="0" borderId="0" xfId="3" applyFont="1" applyFill="1" applyBorder="1" applyAlignment="1" applyProtection="1">
      <alignment horizontal="center"/>
    </xf>
    <xf numFmtId="0" fontId="86" fillId="9" borderId="60" xfId="0" applyFont="1" applyFill="1" applyBorder="1" applyProtection="1"/>
    <xf numFmtId="169" fontId="83" fillId="2" borderId="2" xfId="1" applyNumberFormat="1" applyFont="1" applyFill="1" applyBorder="1" applyAlignment="1" applyProtection="1"/>
    <xf numFmtId="9" fontId="83" fillId="9" borderId="61" xfId="3" applyFont="1" applyFill="1" applyBorder="1" applyAlignment="1" applyProtection="1">
      <alignment horizontal="center"/>
    </xf>
    <xf numFmtId="9" fontId="75" fillId="0" borderId="33" xfId="3" applyFont="1" applyFill="1" applyBorder="1" applyAlignment="1" applyProtection="1">
      <alignment horizontal="right"/>
    </xf>
    <xf numFmtId="9" fontId="75" fillId="0" borderId="33" xfId="3" applyFont="1" applyFill="1" applyBorder="1" applyProtection="1"/>
    <xf numFmtId="0" fontId="92" fillId="0" borderId="28" xfId="0" applyFont="1" applyFill="1" applyBorder="1" applyAlignment="1" applyProtection="1">
      <alignment horizontal="center" wrapText="1"/>
    </xf>
    <xf numFmtId="0" fontId="80" fillId="2" borderId="10" xfId="0" applyFont="1" applyFill="1" applyBorder="1" applyProtection="1"/>
    <xf numFmtId="0" fontId="85" fillId="2" borderId="53" xfId="0" applyFont="1" applyFill="1" applyBorder="1" applyProtection="1"/>
    <xf numFmtId="0" fontId="85" fillId="2" borderId="0" xfId="0" applyFont="1" applyFill="1" applyBorder="1" applyProtection="1"/>
    <xf numFmtId="0" fontId="85" fillId="2" borderId="22" xfId="0" applyFont="1" applyFill="1" applyBorder="1" applyProtection="1"/>
    <xf numFmtId="169" fontId="83" fillId="0" borderId="0" xfId="1" applyNumberFormat="1" applyFont="1" applyFill="1" applyBorder="1" applyAlignment="1" applyProtection="1">
      <alignment horizontal="center"/>
    </xf>
    <xf numFmtId="0" fontId="91" fillId="0" borderId="46" xfId="0" applyFont="1" applyFill="1" applyBorder="1" applyProtection="1"/>
    <xf numFmtId="0" fontId="0" fillId="0" borderId="33" xfId="0" applyBorder="1" applyProtection="1"/>
    <xf numFmtId="0" fontId="75" fillId="0" borderId="33" xfId="0" applyFont="1" applyFill="1" applyBorder="1" applyProtection="1"/>
    <xf numFmtId="0" fontId="89" fillId="0" borderId="33" xfId="0" applyFont="1" applyBorder="1" applyAlignment="1" applyProtection="1">
      <alignment horizontal="center"/>
    </xf>
    <xf numFmtId="0" fontId="89" fillId="0" borderId="33" xfId="0" applyFont="1" applyBorder="1" applyProtection="1"/>
    <xf numFmtId="171" fontId="89" fillId="0" borderId="33" xfId="2" applyNumberFormat="1" applyFont="1" applyBorder="1" applyProtection="1"/>
    <xf numFmtId="171" fontId="89" fillId="0" borderId="91" xfId="0" applyNumberFormat="1" applyFont="1" applyBorder="1" applyProtection="1"/>
    <xf numFmtId="0" fontId="86" fillId="2" borderId="32" xfId="0" applyFont="1" applyFill="1" applyBorder="1" applyProtection="1"/>
    <xf numFmtId="0" fontId="0" fillId="2" borderId="4" xfId="0" applyFill="1" applyBorder="1" applyAlignment="1" applyProtection="1">
      <alignment horizontal="center"/>
    </xf>
    <xf numFmtId="0" fontId="0" fillId="2" borderId="31" xfId="0" applyFill="1" applyBorder="1" applyProtection="1"/>
    <xf numFmtId="169" fontId="83" fillId="2" borderId="62" xfId="1" applyNumberFormat="1" applyFont="1" applyFill="1" applyBorder="1" applyAlignment="1" applyProtection="1">
      <alignment horizontal="center"/>
    </xf>
    <xf numFmtId="0" fontId="76" fillId="0" borderId="21" xfId="0" applyFont="1" applyFill="1" applyBorder="1" applyProtection="1"/>
    <xf numFmtId="169" fontId="75" fillId="0" borderId="0" xfId="1" applyNumberFormat="1" applyFont="1" applyFill="1" applyBorder="1" applyAlignment="1" applyProtection="1"/>
    <xf numFmtId="0" fontId="89" fillId="0" borderId="0" xfId="0" applyFont="1" applyBorder="1" applyAlignment="1" applyProtection="1">
      <alignment horizontal="center"/>
    </xf>
    <xf numFmtId="171" fontId="89" fillId="0" borderId="0" xfId="2" applyNumberFormat="1" applyFont="1" applyBorder="1" applyProtection="1"/>
    <xf numFmtId="171" fontId="89" fillId="0" borderId="53" xfId="0" applyNumberFormat="1" applyFont="1" applyBorder="1" applyProtection="1"/>
    <xf numFmtId="0" fontId="0" fillId="2" borderId="12" xfId="0" applyFill="1" applyBorder="1" applyAlignment="1" applyProtection="1">
      <alignment horizontal="center"/>
    </xf>
    <xf numFmtId="9" fontId="83" fillId="2" borderId="12" xfId="3" applyFont="1" applyFill="1" applyBorder="1" applyAlignment="1" applyProtection="1">
      <alignment horizontal="center"/>
    </xf>
    <xf numFmtId="9" fontId="83" fillId="2" borderId="41" xfId="3" applyFont="1" applyFill="1" applyBorder="1" applyAlignment="1" applyProtection="1">
      <alignment horizontal="center"/>
    </xf>
    <xf numFmtId="0" fontId="83" fillId="2" borderId="2" xfId="0" applyFont="1" applyFill="1" applyBorder="1" applyAlignment="1" applyProtection="1">
      <alignment horizontal="center"/>
    </xf>
    <xf numFmtId="0" fontId="75" fillId="0" borderId="21" xfId="0" applyFont="1" applyBorder="1" applyProtection="1"/>
    <xf numFmtId="169" fontId="75" fillId="0" borderId="2" xfId="1" applyNumberFormat="1" applyFont="1" applyFill="1" applyBorder="1" applyAlignment="1" applyProtection="1"/>
    <xf numFmtId="169" fontId="83" fillId="2" borderId="41" xfId="1" applyNumberFormat="1" applyFont="1" applyFill="1" applyBorder="1" applyAlignment="1" applyProtection="1">
      <alignment horizontal="center"/>
    </xf>
    <xf numFmtId="171" fontId="83" fillId="0" borderId="0" xfId="2" applyNumberFormat="1" applyFont="1" applyFill="1" applyBorder="1" applyAlignment="1" applyProtection="1">
      <alignment horizontal="center"/>
    </xf>
    <xf numFmtId="169" fontId="75" fillId="0" borderId="3" xfId="1" applyNumberFormat="1" applyFont="1" applyFill="1" applyBorder="1" applyAlignment="1" applyProtection="1"/>
    <xf numFmtId="0" fontId="85" fillId="0" borderId="0" xfId="0" applyFont="1" applyFill="1" applyBorder="1" applyAlignment="1" applyProtection="1">
      <alignment horizontal="center"/>
    </xf>
    <xf numFmtId="0" fontId="80" fillId="9" borderId="10" xfId="0" applyFont="1" applyFill="1" applyBorder="1" applyProtection="1"/>
    <xf numFmtId="0" fontId="85" fillId="9" borderId="0" xfId="0" applyFont="1" applyFill="1" applyBorder="1" applyProtection="1"/>
    <xf numFmtId="0" fontId="0" fillId="9" borderId="22" xfId="0" applyFill="1" applyBorder="1" applyProtection="1"/>
    <xf numFmtId="0" fontId="76" fillId="9" borderId="4" xfId="0" applyFont="1" applyFill="1" applyBorder="1" applyProtection="1"/>
    <xf numFmtId="0" fontId="75" fillId="9" borderId="31" xfId="0" applyFont="1" applyFill="1" applyBorder="1" applyProtection="1"/>
    <xf numFmtId="0" fontId="75" fillId="9" borderId="27" xfId="0" applyFont="1" applyFill="1" applyBorder="1" applyProtection="1"/>
    <xf numFmtId="170" fontId="76" fillId="9" borderId="4" xfId="2" applyNumberFormat="1" applyFont="1" applyFill="1" applyBorder="1" applyProtection="1"/>
    <xf numFmtId="0" fontId="0" fillId="9" borderId="31" xfId="0" applyFill="1" applyBorder="1" applyProtection="1"/>
    <xf numFmtId="0" fontId="75" fillId="9" borderId="31" xfId="0" applyFont="1" applyFill="1" applyBorder="1" applyAlignment="1" applyProtection="1">
      <alignment horizontal="center"/>
    </xf>
    <xf numFmtId="0" fontId="89" fillId="9" borderId="31" xfId="0" applyFont="1" applyFill="1" applyBorder="1" applyProtection="1"/>
    <xf numFmtId="171" fontId="75" fillId="9" borderId="31" xfId="0" applyNumberFormat="1" applyFont="1" applyFill="1" applyBorder="1" applyProtection="1"/>
    <xf numFmtId="171" fontId="75" fillId="9" borderId="27" xfId="2" applyNumberFormat="1" applyFont="1" applyFill="1" applyBorder="1" applyProtection="1"/>
    <xf numFmtId="0" fontId="84" fillId="2" borderId="10" xfId="0" applyFont="1" applyFill="1" applyBorder="1" applyProtection="1"/>
    <xf numFmtId="0" fontId="85" fillId="2" borderId="53" xfId="0" applyFont="1" applyFill="1" applyBorder="1" applyAlignment="1" applyProtection="1">
      <alignment horizontal="center"/>
    </xf>
    <xf numFmtId="0" fontId="85" fillId="2" borderId="0" xfId="0" applyFont="1" applyFill="1" applyBorder="1" applyAlignment="1" applyProtection="1">
      <alignment horizontal="center"/>
    </xf>
    <xf numFmtId="0" fontId="85" fillId="2" borderId="22" xfId="0" applyFont="1" applyFill="1" applyBorder="1" applyAlignment="1" applyProtection="1">
      <alignment horizontal="center"/>
    </xf>
    <xf numFmtId="0" fontId="86" fillId="9" borderId="10" xfId="0" applyFont="1" applyFill="1" applyBorder="1" applyProtection="1"/>
    <xf numFmtId="0" fontId="76" fillId="0" borderId="46" xfId="0" applyFont="1" applyFill="1" applyBorder="1" applyProtection="1"/>
    <xf numFmtId="0" fontId="91" fillId="0" borderId="33" xfId="0" applyFont="1" applyFill="1" applyBorder="1" applyAlignment="1" applyProtection="1">
      <alignment horizontal="center" wrapText="1"/>
    </xf>
    <xf numFmtId="0" fontId="89" fillId="0" borderId="91" xfId="0" applyFont="1" applyBorder="1" applyProtection="1"/>
    <xf numFmtId="0" fontId="0" fillId="9" borderId="10" xfId="0" applyFill="1" applyBorder="1" applyProtection="1"/>
    <xf numFmtId="0" fontId="0" fillId="9" borderId="0" xfId="0" applyFill="1" applyBorder="1" applyProtection="1"/>
    <xf numFmtId="169" fontId="75" fillId="0" borderId="2" xfId="1" applyNumberFormat="1" applyFont="1" applyFill="1" applyBorder="1" applyProtection="1"/>
    <xf numFmtId="0" fontId="89" fillId="0" borderId="53" xfId="0" applyFont="1" applyBorder="1" applyProtection="1"/>
    <xf numFmtId="0" fontId="85" fillId="9" borderId="10" xfId="0" applyFont="1" applyFill="1" applyBorder="1" applyProtection="1"/>
    <xf numFmtId="0" fontId="88" fillId="9" borderId="0" xfId="0" applyFont="1" applyFill="1" applyBorder="1" applyAlignment="1" applyProtection="1">
      <alignment horizontal="center"/>
    </xf>
    <xf numFmtId="0" fontId="88" fillId="9" borderId="22" xfId="0" quotePrefix="1" applyFont="1" applyFill="1" applyBorder="1" applyAlignment="1" applyProtection="1">
      <alignment horizontal="center"/>
    </xf>
    <xf numFmtId="169" fontId="75" fillId="0" borderId="3" xfId="1" applyNumberFormat="1" applyFont="1" applyFill="1" applyBorder="1" applyProtection="1"/>
    <xf numFmtId="0" fontId="75" fillId="0" borderId="0" xfId="0" applyFont="1" applyBorder="1" applyAlignment="1" applyProtection="1">
      <alignment horizontal="center"/>
    </xf>
    <xf numFmtId="0" fontId="92" fillId="0" borderId="0" xfId="0" applyFont="1" applyBorder="1" applyAlignment="1" applyProtection="1">
      <alignment horizontal="center"/>
    </xf>
    <xf numFmtId="0" fontId="92" fillId="0" borderId="0" xfId="0" applyFont="1" applyFill="1" applyBorder="1" applyAlignment="1" applyProtection="1">
      <alignment horizontal="center" wrapText="1"/>
    </xf>
    <xf numFmtId="0" fontId="92" fillId="0" borderId="0" xfId="0" applyFont="1" applyBorder="1" applyProtection="1"/>
    <xf numFmtId="9" fontId="83" fillId="2" borderId="2" xfId="3" applyFont="1" applyFill="1" applyBorder="1" applyAlignment="1" applyProtection="1">
      <alignment horizontal="center"/>
    </xf>
    <xf numFmtId="9" fontId="74" fillId="2" borderId="2" xfId="3" applyFont="1" applyFill="1" applyBorder="1" applyProtection="1"/>
    <xf numFmtId="9" fontId="74" fillId="2" borderId="4" xfId="3" applyFont="1" applyFill="1" applyBorder="1" applyProtection="1"/>
    <xf numFmtId="2" fontId="83" fillId="2" borderId="2" xfId="0" applyNumberFormat="1" applyFont="1" applyFill="1" applyBorder="1" applyProtection="1"/>
    <xf numFmtId="0" fontId="83" fillId="2" borderId="41" xfId="0" applyFont="1" applyFill="1" applyBorder="1" applyProtection="1"/>
    <xf numFmtId="170" fontId="94" fillId="9" borderId="31" xfId="2" applyNumberFormat="1" applyFont="1" applyFill="1" applyBorder="1" applyProtection="1"/>
    <xf numFmtId="169" fontId="75" fillId="9" borderId="31" xfId="1" applyNumberFormat="1" applyFont="1" applyFill="1" applyBorder="1" applyProtection="1"/>
    <xf numFmtId="169" fontId="83" fillId="2" borderId="27" xfId="1" applyNumberFormat="1" applyFont="1" applyFill="1" applyBorder="1" applyAlignment="1" applyProtection="1">
      <alignment horizontal="center"/>
    </xf>
    <xf numFmtId="169" fontId="83" fillId="2" borderId="41" xfId="0" applyNumberFormat="1" applyFont="1" applyFill="1" applyBorder="1" applyAlignment="1" applyProtection="1">
      <alignment horizontal="center"/>
    </xf>
    <xf numFmtId="0" fontId="0" fillId="0" borderId="0" xfId="0" applyFill="1" applyBorder="1" applyAlignment="1" applyProtection="1">
      <alignment horizontal="center"/>
    </xf>
    <xf numFmtId="2" fontId="83" fillId="2" borderId="41" xfId="0" applyNumberFormat="1" applyFont="1" applyFill="1" applyBorder="1" applyProtection="1"/>
    <xf numFmtId="0" fontId="91" fillId="0" borderId="32" xfId="0" applyFont="1" applyFill="1" applyBorder="1" applyProtection="1"/>
    <xf numFmtId="0" fontId="89" fillId="0" borderId="33" xfId="0" applyFont="1" applyFill="1" applyBorder="1" applyProtection="1"/>
    <xf numFmtId="0" fontId="89" fillId="0" borderId="22" xfId="0" applyFont="1" applyBorder="1" applyProtection="1"/>
    <xf numFmtId="169" fontId="74" fillId="2" borderId="4" xfId="1" applyNumberFormat="1" applyFont="1" applyFill="1" applyBorder="1" applyProtection="1"/>
    <xf numFmtId="171" fontId="75" fillId="0" borderId="22" xfId="2" applyNumberFormat="1" applyFont="1" applyBorder="1" applyProtection="1"/>
    <xf numFmtId="0" fontId="86" fillId="2" borderId="1" xfId="0" applyFont="1" applyFill="1" applyBorder="1" applyProtection="1"/>
    <xf numFmtId="0" fontId="0" fillId="2" borderId="0" xfId="0" applyFill="1" applyBorder="1" applyAlignment="1" applyProtection="1">
      <alignment horizontal="center"/>
    </xf>
    <xf numFmtId="169" fontId="0" fillId="2" borderId="0" xfId="0" applyNumberFormat="1" applyFill="1" applyBorder="1" applyProtection="1"/>
    <xf numFmtId="9" fontId="0" fillId="2" borderId="0" xfId="3" applyFont="1" applyFill="1" applyBorder="1" applyProtection="1"/>
    <xf numFmtId="0" fontId="0" fillId="2" borderId="22" xfId="0" applyFill="1" applyBorder="1" applyAlignment="1" applyProtection="1">
      <alignment horizontal="center"/>
    </xf>
    <xf numFmtId="0" fontId="0" fillId="0" borderId="0" xfId="0" applyFill="1" applyProtection="1"/>
    <xf numFmtId="0" fontId="85" fillId="9" borderId="22" xfId="0" applyFont="1" applyFill="1" applyBorder="1" applyProtection="1"/>
    <xf numFmtId="0" fontId="76" fillId="9" borderId="30" xfId="0" applyFont="1" applyFill="1" applyBorder="1" applyProtection="1"/>
    <xf numFmtId="170" fontId="91" fillId="9" borderId="31" xfId="2" applyNumberFormat="1" applyFont="1" applyFill="1" applyBorder="1" applyProtection="1"/>
    <xf numFmtId="164" fontId="75" fillId="9" borderId="31" xfId="0" applyNumberFormat="1" applyFont="1" applyFill="1" applyBorder="1" applyProtection="1"/>
    <xf numFmtId="169" fontId="75" fillId="9" borderId="31" xfId="0" applyNumberFormat="1" applyFont="1" applyFill="1" applyBorder="1" applyProtection="1"/>
    <xf numFmtId="171" fontId="75" fillId="9" borderId="62" xfId="2" applyNumberFormat="1" applyFont="1" applyFill="1" applyBorder="1" applyProtection="1"/>
    <xf numFmtId="171" fontId="83" fillId="2" borderId="4" xfId="2" applyNumberFormat="1" applyFont="1" applyFill="1" applyBorder="1" applyAlignment="1" applyProtection="1">
      <alignment horizontal="center"/>
    </xf>
    <xf numFmtId="171" fontId="83" fillId="2" borderId="41" xfId="2" applyNumberFormat="1" applyFont="1" applyFill="1" applyBorder="1" applyAlignment="1" applyProtection="1">
      <alignment horizontal="center"/>
    </xf>
    <xf numFmtId="0" fontId="76" fillId="0" borderId="32" xfId="0" applyFont="1" applyFill="1" applyBorder="1" applyProtection="1"/>
    <xf numFmtId="0" fontId="83" fillId="0" borderId="0" xfId="0" applyFont="1" applyFill="1" applyBorder="1" applyAlignment="1" applyProtection="1">
      <alignment horizontal="center"/>
    </xf>
    <xf numFmtId="0" fontId="90" fillId="9" borderId="31" xfId="0" applyFont="1" applyFill="1" applyBorder="1" applyProtection="1"/>
    <xf numFmtId="168" fontId="75" fillId="9" borderId="31" xfId="0" applyNumberFormat="1" applyFont="1" applyFill="1" applyBorder="1" applyProtection="1"/>
    <xf numFmtId="9" fontId="75" fillId="9" borderId="31" xfId="0" applyNumberFormat="1" applyFont="1" applyFill="1" applyBorder="1" applyProtection="1"/>
    <xf numFmtId="0" fontId="89" fillId="0" borderId="10" xfId="0" applyFont="1" applyFill="1" applyBorder="1" applyProtection="1"/>
    <xf numFmtId="0" fontId="89" fillId="0" borderId="0" xfId="0" applyFont="1" applyFill="1" applyBorder="1" applyProtection="1"/>
    <xf numFmtId="0" fontId="75" fillId="0" borderId="21" xfId="0" applyFont="1" applyFill="1" applyBorder="1" applyProtection="1"/>
    <xf numFmtId="168" fontId="75" fillId="0" borderId="0" xfId="0" applyNumberFormat="1" applyFont="1" applyFill="1" applyBorder="1" applyAlignment="1" applyProtection="1">
      <alignment horizontal="right"/>
    </xf>
    <xf numFmtId="0" fontId="89" fillId="0" borderId="0" xfId="0" applyFont="1" applyFill="1" applyBorder="1" applyAlignment="1" applyProtection="1">
      <alignment horizontal="center"/>
    </xf>
    <xf numFmtId="9" fontId="75" fillId="0" borderId="0" xfId="0" applyNumberFormat="1" applyFont="1" applyFill="1" applyBorder="1" applyAlignment="1" applyProtection="1">
      <alignment horizontal="center"/>
    </xf>
    <xf numFmtId="171" fontId="75" fillId="0" borderId="22" xfId="2" applyNumberFormat="1" applyFont="1" applyFill="1" applyBorder="1" applyAlignment="1" applyProtection="1">
      <alignment horizontal="center"/>
    </xf>
    <xf numFmtId="0" fontId="86" fillId="2" borderId="64" xfId="0" applyFont="1" applyFill="1" applyBorder="1" applyProtection="1"/>
    <xf numFmtId="171" fontId="74" fillId="2" borderId="9" xfId="2" applyNumberFormat="1" applyFont="1" applyFill="1" applyBorder="1" applyProtection="1"/>
    <xf numFmtId="171" fontId="83" fillId="2" borderId="37" xfId="2" applyNumberFormat="1" applyFont="1" applyFill="1" applyBorder="1" applyAlignment="1" applyProtection="1">
      <alignment horizontal="center"/>
    </xf>
    <xf numFmtId="171" fontId="83" fillId="2" borderId="48" xfId="2" applyNumberFormat="1" applyFont="1" applyFill="1" applyBorder="1" applyAlignment="1" applyProtection="1">
      <alignment horizontal="center"/>
    </xf>
    <xf numFmtId="165" fontId="83" fillId="2" borderId="2" xfId="0" applyNumberFormat="1" applyFont="1" applyFill="1" applyBorder="1" applyProtection="1"/>
    <xf numFmtId="0" fontId="76" fillId="9" borderId="64" xfId="0" applyFont="1" applyFill="1" applyBorder="1" applyProtection="1"/>
    <xf numFmtId="0" fontId="89" fillId="9" borderId="75" xfId="0" applyFont="1" applyFill="1" applyBorder="1" applyProtection="1"/>
    <xf numFmtId="0" fontId="89" fillId="9" borderId="37" xfId="0" applyFont="1" applyFill="1" applyBorder="1" applyProtection="1"/>
    <xf numFmtId="164" fontId="75" fillId="9" borderId="75" xfId="0" applyNumberFormat="1" applyFont="1" applyFill="1" applyBorder="1" applyProtection="1"/>
    <xf numFmtId="0" fontId="75" fillId="9" borderId="75" xfId="0" applyFont="1" applyFill="1" applyBorder="1" applyProtection="1"/>
    <xf numFmtId="171" fontId="75" fillId="9" borderId="65" xfId="0" applyNumberFormat="1" applyFont="1" applyFill="1" applyBorder="1" applyProtection="1"/>
    <xf numFmtId="44" fontId="75" fillId="9" borderId="65" xfId="0" applyNumberFormat="1" applyFont="1" applyFill="1" applyBorder="1" applyProtection="1"/>
    <xf numFmtId="169" fontId="74" fillId="2" borderId="2" xfId="1" applyNumberFormat="1" applyFont="1" applyFill="1" applyBorder="1" applyAlignment="1" applyProtection="1">
      <alignment horizontal="center"/>
    </xf>
    <xf numFmtId="43" fontId="0" fillId="0" borderId="0" xfId="0" applyNumberFormat="1" applyProtection="1"/>
    <xf numFmtId="0" fontId="83" fillId="2" borderId="2" xfId="0" applyFont="1" applyFill="1" applyBorder="1" applyProtection="1"/>
    <xf numFmtId="0" fontId="87" fillId="0" borderId="21" xfId="0" applyFont="1" applyFill="1" applyBorder="1" applyProtection="1"/>
    <xf numFmtId="0" fontId="74" fillId="0" borderId="21" xfId="0" applyFont="1" applyBorder="1" applyProtection="1"/>
    <xf numFmtId="0" fontId="74" fillId="0" borderId="21" xfId="0" applyFont="1" applyFill="1" applyBorder="1" applyProtection="1"/>
    <xf numFmtId="9" fontId="83" fillId="9" borderId="22" xfId="3" applyFont="1" applyFill="1" applyBorder="1" applyAlignment="1" applyProtection="1">
      <alignment horizontal="center"/>
    </xf>
    <xf numFmtId="171" fontId="83" fillId="2" borderId="2" xfId="2" applyNumberFormat="1" applyFont="1" applyFill="1" applyBorder="1" applyAlignment="1" applyProtection="1">
      <alignment horizontal="center"/>
    </xf>
    <xf numFmtId="0" fontId="75" fillId="9" borderId="1" xfId="0" applyFont="1" applyFill="1" applyBorder="1" applyAlignment="1" applyProtection="1">
      <alignment horizontal="center" wrapText="1"/>
    </xf>
    <xf numFmtId="0" fontId="0" fillId="2" borderId="0" xfId="0" applyFill="1" applyProtection="1"/>
    <xf numFmtId="0" fontId="75" fillId="9" borderId="50" xfId="0" applyFont="1" applyFill="1" applyBorder="1" applyAlignment="1" applyProtection="1">
      <alignment horizontal="center" wrapText="1"/>
    </xf>
    <xf numFmtId="0" fontId="75" fillId="9" borderId="1" xfId="0" applyFont="1" applyFill="1" applyBorder="1" applyAlignment="1" applyProtection="1">
      <alignment horizontal="center"/>
    </xf>
    <xf numFmtId="0" fontId="75" fillId="9" borderId="8" xfId="0" applyFont="1" applyFill="1" applyBorder="1" applyAlignment="1" applyProtection="1">
      <alignment horizontal="center"/>
    </xf>
    <xf numFmtId="0" fontId="84" fillId="9" borderId="23" xfId="0" applyFont="1" applyFill="1" applyBorder="1" applyProtection="1"/>
    <xf numFmtId="9" fontId="83" fillId="2" borderId="9" xfId="3" applyFont="1" applyFill="1" applyBorder="1" applyAlignment="1" applyProtection="1">
      <alignment horizontal="center"/>
    </xf>
    <xf numFmtId="9" fontId="83" fillId="9" borderId="40" xfId="3" applyFont="1" applyFill="1" applyBorder="1" applyAlignment="1" applyProtection="1">
      <alignment horizontal="center"/>
    </xf>
    <xf numFmtId="0" fontId="81" fillId="0" borderId="0" xfId="0" applyFont="1" applyProtection="1"/>
    <xf numFmtId="0" fontId="80" fillId="9" borderId="46" xfId="0" applyFont="1" applyFill="1" applyBorder="1" applyProtection="1"/>
    <xf numFmtId="0" fontId="0" fillId="9" borderId="27" xfId="0" applyFill="1" applyBorder="1" applyProtection="1"/>
    <xf numFmtId="169" fontId="0" fillId="0" borderId="91" xfId="1" applyNumberFormat="1" applyFont="1" applyBorder="1" applyAlignment="1" applyProtection="1">
      <alignment horizontal="center"/>
    </xf>
    <xf numFmtId="0" fontId="75" fillId="9" borderId="46" xfId="0" applyFont="1" applyFill="1" applyBorder="1" applyAlignment="1" applyProtection="1">
      <alignment horizontal="right"/>
    </xf>
    <xf numFmtId="0" fontId="79" fillId="9" borderId="91" xfId="0" applyFont="1" applyFill="1" applyBorder="1" applyAlignment="1" applyProtection="1">
      <alignment horizontal="center"/>
    </xf>
    <xf numFmtId="9" fontId="0" fillId="0" borderId="53" xfId="0" applyNumberFormat="1" applyBorder="1" applyAlignment="1" applyProtection="1">
      <alignment horizontal="center"/>
    </xf>
    <xf numFmtId="0" fontId="75" fillId="9" borderId="21" xfId="0" applyFont="1" applyFill="1" applyBorder="1" applyAlignment="1" applyProtection="1">
      <alignment horizontal="center"/>
    </xf>
    <xf numFmtId="164" fontId="75" fillId="9" borderId="53" xfId="0" applyNumberFormat="1" applyFont="1" applyFill="1" applyBorder="1" applyProtection="1"/>
    <xf numFmtId="169" fontId="0" fillId="0" borderId="53" xfId="1" applyNumberFormat="1" applyFont="1" applyBorder="1" applyAlignment="1" applyProtection="1">
      <alignment horizontal="center"/>
    </xf>
    <xf numFmtId="0" fontId="75" fillId="9" borderId="39" xfId="0" applyFont="1" applyFill="1" applyBorder="1" applyAlignment="1" applyProtection="1">
      <alignment horizontal="center"/>
    </xf>
    <xf numFmtId="164" fontId="75" fillId="9" borderId="72" xfId="0" applyNumberFormat="1" applyFont="1" applyFill="1" applyBorder="1" applyProtection="1"/>
    <xf numFmtId="0" fontId="75" fillId="9" borderId="4" xfId="0" applyFont="1" applyFill="1" applyBorder="1" applyAlignment="1" applyProtection="1">
      <alignment horizontal="center"/>
    </xf>
    <xf numFmtId="164" fontId="75" fillId="9" borderId="27" xfId="0" applyNumberFormat="1" applyFont="1" applyFill="1" applyBorder="1" applyProtection="1"/>
    <xf numFmtId="171" fontId="0" fillId="0" borderId="53" xfId="2" applyNumberFormat="1" applyFont="1" applyBorder="1" applyAlignment="1" applyProtection="1">
      <alignment horizontal="center"/>
    </xf>
    <xf numFmtId="0" fontId="75" fillId="9" borderId="2" xfId="0" applyFont="1" applyFill="1" applyBorder="1" applyAlignment="1" applyProtection="1">
      <alignment horizontal="center"/>
    </xf>
    <xf numFmtId="171" fontId="0" fillId="0" borderId="72" xfId="2" applyNumberFormat="1" applyFont="1" applyBorder="1" applyAlignment="1" applyProtection="1">
      <alignment horizontal="center"/>
    </xf>
    <xf numFmtId="0" fontId="76" fillId="9" borderId="46" xfId="0" applyFont="1" applyFill="1" applyBorder="1" applyAlignment="1" applyProtection="1">
      <alignment wrapText="1"/>
    </xf>
    <xf numFmtId="0" fontId="75" fillId="9" borderId="2" xfId="0" applyFont="1" applyFill="1" applyBorder="1" applyAlignment="1" applyProtection="1">
      <alignment horizontal="center" wrapText="1"/>
    </xf>
    <xf numFmtId="0" fontId="75" fillId="9" borderId="91" xfId="0" applyFont="1" applyFill="1" applyBorder="1" applyAlignment="1" applyProtection="1">
      <alignment horizontal="center" wrapText="1"/>
    </xf>
    <xf numFmtId="0" fontId="75" fillId="9" borderId="91" xfId="0" applyFont="1" applyFill="1" applyBorder="1" applyAlignment="1" applyProtection="1">
      <alignment horizontal="center"/>
    </xf>
    <xf numFmtId="0" fontId="75" fillId="9" borderId="46" xfId="0" applyFont="1" applyFill="1" applyBorder="1" applyAlignment="1" applyProtection="1">
      <alignment horizontal="center"/>
    </xf>
    <xf numFmtId="164" fontId="74" fillId="9" borderId="2" xfId="0" applyNumberFormat="1" applyFont="1" applyFill="1" applyBorder="1" applyAlignment="1" applyProtection="1">
      <alignment horizontal="center"/>
    </xf>
    <xf numFmtId="16" fontId="75" fillId="9" borderId="46" xfId="0" applyNumberFormat="1" applyFont="1" applyFill="1" applyBorder="1" applyAlignment="1" applyProtection="1">
      <alignment horizontal="center"/>
    </xf>
    <xf numFmtId="0" fontId="0" fillId="9" borderId="39" xfId="0" applyFill="1" applyBorder="1" applyProtection="1"/>
    <xf numFmtId="164" fontId="0" fillId="9" borderId="2" xfId="0" applyNumberFormat="1" applyFill="1" applyBorder="1" applyAlignment="1" applyProtection="1">
      <alignment horizontal="center"/>
    </xf>
    <xf numFmtId="0" fontId="13" fillId="2" borderId="39" xfId="0" applyFont="1" applyFill="1" applyBorder="1" applyProtection="1"/>
    <xf numFmtId="0" fontId="4" fillId="0" borderId="4" xfId="0" applyFont="1" applyBorder="1" applyProtection="1"/>
    <xf numFmtId="0" fontId="4" fillId="2" borderId="4" xfId="0" applyFont="1" applyFill="1" applyBorder="1" applyProtection="1"/>
    <xf numFmtId="0" fontId="4" fillId="0" borderId="12" xfId="0" applyFont="1" applyBorder="1" applyAlignment="1" applyProtection="1">
      <alignment vertical="center"/>
    </xf>
    <xf numFmtId="0" fontId="4" fillId="0" borderId="58" xfId="0" applyFont="1" applyBorder="1" applyProtection="1"/>
    <xf numFmtId="49" fontId="4" fillId="0" borderId="50" xfId="0" applyNumberFormat="1" applyFont="1" applyBorder="1" applyAlignment="1" applyProtection="1">
      <alignment horizontal="left" vertical="center"/>
    </xf>
    <xf numFmtId="49" fontId="4" fillId="0" borderId="5"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0" fontId="4" fillId="0" borderId="35" xfId="0" applyFont="1" applyBorder="1" applyProtection="1"/>
    <xf numFmtId="169" fontId="22" fillId="4" borderId="41" xfId="1" applyNumberFormat="1" applyFont="1" applyFill="1" applyBorder="1" applyAlignment="1" applyProtection="1">
      <alignment horizontal="center" vertical="center"/>
    </xf>
    <xf numFmtId="169" fontId="22" fillId="4" borderId="49" xfId="1" applyNumberFormat="1" applyFont="1" applyFill="1" applyBorder="1" applyAlignment="1" applyProtection="1">
      <alignment horizontal="center" vertical="center"/>
    </xf>
    <xf numFmtId="9" fontId="22" fillId="4" borderId="3" xfId="0" applyNumberFormat="1" applyFont="1" applyFill="1" applyBorder="1" applyAlignment="1" applyProtection="1">
      <alignment vertical="center"/>
    </xf>
    <xf numFmtId="9" fontId="22" fillId="4" borderId="2" xfId="0" applyNumberFormat="1" applyFont="1" applyFill="1" applyBorder="1" applyAlignment="1" applyProtection="1">
      <alignment vertical="center"/>
    </xf>
    <xf numFmtId="169" fontId="22" fillId="4" borderId="48" xfId="1" applyNumberFormat="1" applyFont="1" applyFill="1" applyBorder="1" applyAlignment="1" applyProtection="1">
      <alignment horizontal="center" vertical="center"/>
    </xf>
    <xf numFmtId="3" fontId="22" fillId="0" borderId="2" xfId="0" applyNumberFormat="1" applyFont="1" applyFill="1" applyBorder="1" applyAlignment="1" applyProtection="1">
      <alignment horizontal="center" vertical="center"/>
    </xf>
    <xf numFmtId="0" fontId="22" fillId="2" borderId="2" xfId="0" applyFont="1" applyFill="1" applyBorder="1" applyAlignment="1" applyProtection="1">
      <alignment horizontal="left" vertical="center"/>
    </xf>
    <xf numFmtId="9" fontId="22" fillId="4" borderId="2" xfId="0" applyNumberFormat="1" applyFont="1" applyFill="1" applyBorder="1" applyAlignment="1" applyProtection="1">
      <alignment horizontal="center" vertical="center"/>
    </xf>
    <xf numFmtId="0" fontId="22" fillId="0" borderId="2" xfId="0" applyFont="1" applyBorder="1" applyAlignment="1" applyProtection="1">
      <alignment horizontal="left"/>
    </xf>
    <xf numFmtId="0" fontId="22" fillId="0" borderId="2" xfId="0" applyFont="1" applyBorder="1" applyAlignment="1" applyProtection="1">
      <alignment horizontal="right" vertical="center"/>
    </xf>
    <xf numFmtId="166" fontId="22" fillId="0" borderId="2" xfId="0" applyNumberFormat="1" applyFont="1" applyFill="1" applyBorder="1" applyAlignment="1" applyProtection="1">
      <alignment horizontal="right" vertical="center"/>
    </xf>
    <xf numFmtId="166" fontId="22" fillId="0" borderId="2" xfId="0" applyNumberFormat="1" applyFont="1" applyFill="1" applyBorder="1" applyAlignment="1" applyProtection="1">
      <alignment horizontal="right"/>
    </xf>
    <xf numFmtId="0" fontId="22" fillId="0" borderId="9" xfId="0" applyFont="1" applyFill="1" applyBorder="1" applyAlignment="1" applyProtection="1">
      <alignment horizontal="left"/>
    </xf>
    <xf numFmtId="169" fontId="22" fillId="4" borderId="9" xfId="0" applyNumberFormat="1" applyFont="1" applyFill="1" applyBorder="1" applyAlignment="1" applyProtection="1">
      <alignment vertical="center"/>
    </xf>
    <xf numFmtId="3" fontId="22" fillId="0" borderId="2" xfId="0" applyNumberFormat="1" applyFont="1" applyFill="1" applyBorder="1" applyAlignment="1" applyProtection="1">
      <alignment vertical="center"/>
    </xf>
    <xf numFmtId="9" fontId="22" fillId="0" borderId="2" xfId="0" applyNumberFormat="1" applyFont="1" applyFill="1" applyBorder="1" applyAlignment="1" applyProtection="1">
      <alignment vertical="center"/>
    </xf>
    <xf numFmtId="169" fontId="106" fillId="2" borderId="41" xfId="1" applyNumberFormat="1" applyFont="1" applyFill="1" applyBorder="1" applyAlignment="1" applyProtection="1">
      <alignment horizontal="left" vertical="center"/>
    </xf>
    <xf numFmtId="0" fontId="22" fillId="0" borderId="2" xfId="0" applyFont="1" applyBorder="1" applyAlignment="1" applyProtection="1">
      <alignment vertical="center"/>
    </xf>
    <xf numFmtId="1" fontId="22" fillId="0" borderId="2" xfId="0" applyNumberFormat="1" applyFont="1" applyBorder="1" applyAlignment="1" applyProtection="1">
      <alignment vertical="center"/>
    </xf>
    <xf numFmtId="166" fontId="22" fillId="0" borderId="2" xfId="0" applyNumberFormat="1" applyFont="1" applyFill="1" applyBorder="1" applyAlignment="1" applyProtection="1">
      <alignment vertical="center"/>
    </xf>
    <xf numFmtId="166" fontId="22" fillId="13" borderId="2" xfId="0" applyNumberFormat="1" applyFont="1" applyFill="1" applyBorder="1" applyAlignment="1" applyProtection="1">
      <alignment vertical="center"/>
    </xf>
    <xf numFmtId="3" fontId="22" fillId="13" borderId="9" xfId="0" applyNumberFormat="1" applyFont="1" applyFill="1" applyBorder="1" applyAlignment="1" applyProtection="1">
      <alignment horizontal="right"/>
    </xf>
    <xf numFmtId="1" fontId="22" fillId="6" borderId="3" xfId="0" applyNumberFormat="1" applyFont="1" applyFill="1" applyBorder="1" applyAlignment="1" applyProtection="1">
      <alignment vertical="center"/>
      <protection locked="0"/>
    </xf>
    <xf numFmtId="174" fontId="23" fillId="0" borderId="0" xfId="0" applyNumberFormat="1" applyFont="1" applyAlignment="1" applyProtection="1">
      <alignment horizontal="left"/>
    </xf>
    <xf numFmtId="174" fontId="20" fillId="0" borderId="17" xfId="0" applyNumberFormat="1" applyFont="1" applyBorder="1" applyProtection="1"/>
    <xf numFmtId="174" fontId="20" fillId="0" borderId="10" xfId="0" applyNumberFormat="1" applyFont="1" applyBorder="1" applyProtection="1"/>
    <xf numFmtId="174" fontId="20" fillId="0" borderId="10" xfId="0" applyNumberFormat="1" applyFont="1" applyBorder="1" applyAlignment="1" applyProtection="1">
      <alignment horizontal="center"/>
    </xf>
    <xf numFmtId="174" fontId="20" fillId="0" borderId="5" xfId="0" applyNumberFormat="1" applyFont="1" applyBorder="1" applyAlignment="1" applyProtection="1">
      <alignment horizontal="center" vertical="center"/>
    </xf>
    <xf numFmtId="174" fontId="20" fillId="0" borderId="1" xfId="0" applyNumberFormat="1" applyFont="1" applyBorder="1" applyAlignment="1" applyProtection="1">
      <alignment horizontal="center" vertical="center"/>
    </xf>
    <xf numFmtId="174" fontId="20" fillId="0" borderId="8" xfId="0" applyNumberFormat="1" applyFont="1" applyBorder="1" applyAlignment="1" applyProtection="1">
      <alignment horizontal="center" vertical="center"/>
    </xf>
    <xf numFmtId="174" fontId="20" fillId="0" borderId="0" xfId="0" applyNumberFormat="1" applyFont="1" applyAlignment="1" applyProtection="1">
      <alignment horizontal="center"/>
    </xf>
    <xf numFmtId="174" fontId="0" fillId="0" borderId="0" xfId="0" applyNumberFormat="1" applyProtection="1"/>
    <xf numFmtId="175" fontId="23" fillId="0" borderId="0" xfId="0" applyNumberFormat="1" applyFont="1" applyAlignment="1" applyProtection="1">
      <alignment horizontal="left"/>
    </xf>
    <xf numFmtId="175" fontId="20" fillId="0" borderId="5" xfId="0" applyNumberFormat="1" applyFont="1" applyBorder="1" applyAlignment="1" applyProtection="1">
      <alignment horizontal="center" vertical="center"/>
    </xf>
    <xf numFmtId="175" fontId="20" fillId="0" borderId="1" xfId="0" applyNumberFormat="1" applyFont="1" applyBorder="1" applyAlignment="1" applyProtection="1">
      <alignment horizontal="center" vertical="center"/>
    </xf>
    <xf numFmtId="175" fontId="20" fillId="0" borderId="10" xfId="0" applyNumberFormat="1" applyFont="1" applyBorder="1" applyAlignment="1" applyProtection="1">
      <alignment horizontal="center" vertical="center"/>
    </xf>
    <xf numFmtId="175" fontId="20" fillId="0" borderId="13" xfId="0" applyNumberFormat="1" applyFont="1" applyBorder="1" applyAlignment="1" applyProtection="1">
      <alignment horizontal="center" vertical="center"/>
    </xf>
    <xf numFmtId="175" fontId="20" fillId="0" borderId="11" xfId="0" applyNumberFormat="1" applyFont="1" applyBorder="1" applyAlignment="1" applyProtection="1">
      <alignment horizontal="center"/>
    </xf>
    <xf numFmtId="175" fontId="20" fillId="0" borderId="1" xfId="0" applyNumberFormat="1" applyFont="1" applyBorder="1" applyAlignment="1" applyProtection="1">
      <alignment horizontal="center"/>
    </xf>
    <xf numFmtId="175" fontId="20" fillId="4" borderId="10" xfId="0" applyNumberFormat="1" applyFont="1" applyFill="1" applyBorder="1" applyAlignment="1" applyProtection="1">
      <alignment horizontal="center"/>
    </xf>
    <xf numFmtId="175" fontId="20" fillId="2" borderId="5" xfId="0" applyNumberFormat="1" applyFont="1" applyFill="1" applyBorder="1" applyAlignment="1" applyProtection="1">
      <alignment horizontal="center"/>
    </xf>
    <xf numFmtId="175" fontId="20" fillId="0" borderId="5" xfId="0" applyNumberFormat="1" applyFont="1" applyBorder="1" applyAlignment="1" applyProtection="1">
      <alignment horizontal="center"/>
    </xf>
    <xf numFmtId="175" fontId="20" fillId="0" borderId="0" xfId="0" applyNumberFormat="1" applyFont="1" applyAlignment="1" applyProtection="1">
      <alignment horizontal="center"/>
    </xf>
    <xf numFmtId="175" fontId="20" fillId="0" borderId="0" xfId="0" applyNumberFormat="1" applyFont="1" applyAlignment="1">
      <alignment horizontal="center"/>
    </xf>
    <xf numFmtId="175" fontId="0" fillId="0" borderId="0" xfId="0" applyNumberFormat="1" applyProtection="1"/>
    <xf numFmtId="174" fontId="20" fillId="0" borderId="0" xfId="0" applyNumberFormat="1" applyFont="1" applyBorder="1" applyAlignment="1" applyProtection="1">
      <alignment horizontal="center"/>
    </xf>
    <xf numFmtId="1" fontId="22" fillId="4" borderId="3" xfId="0" applyNumberFormat="1" applyFont="1" applyFill="1" applyBorder="1" applyAlignment="1" applyProtection="1">
      <alignment vertical="center"/>
    </xf>
    <xf numFmtId="0" fontId="0" fillId="0" borderId="10" xfId="0" applyBorder="1" applyProtection="1">
      <protection locked="0"/>
    </xf>
    <xf numFmtId="165" fontId="40" fillId="0" borderId="2" xfId="0" applyNumberFormat="1" applyFont="1" applyBorder="1" applyProtection="1"/>
    <xf numFmtId="0" fontId="40" fillId="0" borderId="51" xfId="0" applyFont="1" applyBorder="1" applyAlignment="1" applyProtection="1">
      <alignment horizontal="left"/>
    </xf>
    <xf numFmtId="0" fontId="37" fillId="4" borderId="69" xfId="0" applyFont="1" applyFill="1" applyBorder="1" applyAlignment="1" applyProtection="1">
      <alignment vertical="center"/>
    </xf>
    <xf numFmtId="0" fontId="40" fillId="4" borderId="52" xfId="0" applyFont="1" applyFill="1" applyBorder="1" applyProtection="1"/>
    <xf numFmtId="3" fontId="40" fillId="4" borderId="52" xfId="0" applyNumberFormat="1" applyFont="1" applyFill="1" applyBorder="1" applyProtection="1"/>
    <xf numFmtId="2" fontId="40" fillId="4" borderId="52" xfId="0" applyNumberFormat="1" applyFont="1" applyFill="1" applyBorder="1" applyProtection="1"/>
    <xf numFmtId="2" fontId="40" fillId="4" borderId="52" xfId="0" applyNumberFormat="1" applyFont="1" applyFill="1" applyBorder="1" applyAlignment="1" applyProtection="1">
      <alignment horizontal="right"/>
    </xf>
    <xf numFmtId="0" fontId="0" fillId="0" borderId="27" xfId="0" applyFill="1" applyBorder="1" applyProtection="1"/>
    <xf numFmtId="3" fontId="37" fillId="0" borderId="91" xfId="0" applyNumberFormat="1" applyFont="1" applyFill="1" applyBorder="1" applyProtection="1"/>
    <xf numFmtId="0" fontId="37" fillId="0" borderId="0" xfId="0" applyFont="1" applyFill="1" applyBorder="1" applyAlignment="1" applyProtection="1">
      <alignment vertical="center"/>
    </xf>
    <xf numFmtId="0" fontId="37" fillId="0" borderId="72" xfId="0" applyFont="1" applyFill="1" applyBorder="1" applyProtection="1"/>
    <xf numFmtId="0" fontId="4" fillId="0" borderId="0" xfId="0" applyFont="1" applyFill="1" applyProtection="1"/>
    <xf numFmtId="3" fontId="107" fillId="0" borderId="2" xfId="0" applyNumberFormat="1" applyFont="1" applyBorder="1" applyAlignment="1" applyProtection="1">
      <alignment vertical="center"/>
    </xf>
    <xf numFmtId="0" fontId="0" fillId="0" borderId="0" xfId="0" applyFill="1" applyBorder="1" applyAlignment="1">
      <alignment wrapText="1"/>
    </xf>
    <xf numFmtId="0" fontId="0" fillId="0" borderId="24" xfId="0" applyFill="1" applyBorder="1" applyAlignment="1">
      <alignment wrapText="1"/>
    </xf>
    <xf numFmtId="0" fontId="0" fillId="0" borderId="0" xfId="0" applyFill="1" applyBorder="1" applyAlignment="1"/>
    <xf numFmtId="3" fontId="0" fillId="0" borderId="0" xfId="0" applyNumberFormat="1" applyFill="1" applyBorder="1" applyAlignment="1">
      <alignment wrapText="1"/>
    </xf>
    <xf numFmtId="3" fontId="0" fillId="0" borderId="0" xfId="0" applyNumberFormat="1" applyFill="1" applyBorder="1" applyAlignment="1"/>
    <xf numFmtId="169" fontId="5" fillId="0" borderId="2" xfId="1" applyNumberFormat="1" applyFont="1" applyFill="1" applyBorder="1" applyProtection="1"/>
    <xf numFmtId="9" fontId="0" fillId="0" borderId="0" xfId="0" applyNumberFormat="1"/>
    <xf numFmtId="3" fontId="0" fillId="0" borderId="0" xfId="0" applyNumberFormat="1" applyBorder="1"/>
    <xf numFmtId="0" fontId="0" fillId="0" borderId="0" xfId="0" applyBorder="1"/>
    <xf numFmtId="0" fontId="0" fillId="0" borderId="0" xfId="0" applyFill="1" applyBorder="1" applyAlignment="1" applyProtection="1">
      <alignment vertical="center"/>
    </xf>
    <xf numFmtId="0" fontId="111" fillId="0" borderId="0" xfId="0" applyFont="1"/>
    <xf numFmtId="0" fontId="0" fillId="0" borderId="0" xfId="0" quotePrefix="1"/>
    <xf numFmtId="0" fontId="0" fillId="0" borderId="0" xfId="0" applyAlignment="1">
      <alignment horizontal="left"/>
    </xf>
    <xf numFmtId="0" fontId="112" fillId="0" borderId="0" xfId="0" applyFont="1"/>
    <xf numFmtId="0" fontId="112" fillId="0" borderId="0" xfId="0" applyFont="1" applyAlignment="1">
      <alignment horizontal="left"/>
    </xf>
    <xf numFmtId="3" fontId="113" fillId="0" borderId="70" xfId="0" applyNumberFormat="1" applyFont="1" applyBorder="1"/>
    <xf numFmtId="0" fontId="0" fillId="0" borderId="70" xfId="0" applyBorder="1" applyAlignment="1">
      <alignment horizontal="right"/>
    </xf>
    <xf numFmtId="0" fontId="0" fillId="0" borderId="94" xfId="0" applyBorder="1" applyAlignment="1">
      <alignment horizontal="centerContinuous"/>
    </xf>
    <xf numFmtId="0" fontId="0" fillId="0" borderId="0" xfId="0" applyAlignment="1">
      <alignment horizontal="centerContinuous"/>
    </xf>
    <xf numFmtId="0" fontId="0" fillId="0" borderId="95" xfId="0" applyBorder="1" applyAlignment="1">
      <alignment horizontal="centerContinuous"/>
    </xf>
    <xf numFmtId="0" fontId="0" fillId="0" borderId="0" xfId="0" applyAlignment="1">
      <alignment horizontal="right"/>
    </xf>
    <xf numFmtId="0" fontId="0" fillId="0" borderId="96" xfId="0" applyBorder="1" applyAlignment="1">
      <alignment horizontal="centerContinuous"/>
    </xf>
    <xf numFmtId="0" fontId="0" fillId="0" borderId="28" xfId="0" applyBorder="1" applyAlignment="1">
      <alignment horizontal="centerContinuous"/>
    </xf>
    <xf numFmtId="0" fontId="0" fillId="0" borderId="97" xfId="0" applyBorder="1" applyAlignment="1">
      <alignment horizontal="right"/>
    </xf>
    <xf numFmtId="0" fontId="0" fillId="0" borderId="24" xfId="0" applyBorder="1" applyAlignment="1">
      <alignment horizontal="right"/>
    </xf>
    <xf numFmtId="0" fontId="0" fillId="0" borderId="94" xfId="0" applyBorder="1" applyAlignment="1">
      <alignment horizontal="right"/>
    </xf>
    <xf numFmtId="173" fontId="0" fillId="0" borderId="94" xfId="0" applyNumberFormat="1" applyBorder="1" applyAlignment="1">
      <alignment horizontal="right"/>
    </xf>
    <xf numFmtId="5" fontId="0" fillId="0" borderId="0" xfId="0" applyNumberFormat="1" applyAlignment="1">
      <alignment horizontal="right"/>
    </xf>
    <xf numFmtId="3" fontId="13" fillId="0" borderId="0" xfId="0" applyNumberFormat="1" applyFont="1"/>
    <xf numFmtId="3" fontId="13" fillId="0" borderId="0" xfId="0" applyNumberFormat="1" applyFont="1" applyAlignment="1">
      <alignment horizontal="right"/>
    </xf>
    <xf numFmtId="0" fontId="0" fillId="0" borderId="70" xfId="0" applyBorder="1" applyAlignment="1">
      <alignment horizontal="center"/>
    </xf>
    <xf numFmtId="0" fontId="0" fillId="0" borderId="98" xfId="0" applyBorder="1" applyAlignment="1">
      <alignment horizontal="right"/>
    </xf>
    <xf numFmtId="1" fontId="0" fillId="0" borderId="98" xfId="0" applyNumberFormat="1" applyBorder="1" applyAlignment="1">
      <alignment horizontal="right"/>
    </xf>
    <xf numFmtId="3" fontId="0" fillId="0" borderId="71" xfId="0" applyNumberFormat="1" applyBorder="1" applyAlignment="1">
      <alignment horizontal="right"/>
    </xf>
    <xf numFmtId="3" fontId="0" fillId="0" borderId="0" xfId="0" applyNumberFormat="1" applyAlignment="1">
      <alignment horizontal="right"/>
    </xf>
    <xf numFmtId="0" fontId="0" fillId="0" borderId="0" xfId="0" applyBorder="1" applyAlignment="1">
      <alignment horizontal="left"/>
    </xf>
    <xf numFmtId="0" fontId="0" fillId="0" borderId="0" xfId="0" applyBorder="1" applyAlignment="1">
      <alignment horizontal="right"/>
    </xf>
    <xf numFmtId="3" fontId="0" fillId="0" borderId="0" xfId="0" applyNumberFormat="1" applyBorder="1" applyAlignment="1">
      <alignment horizontal="right"/>
    </xf>
    <xf numFmtId="166" fontId="0" fillId="0" borderId="0" xfId="0" applyNumberFormat="1" applyBorder="1" applyAlignment="1">
      <alignment horizontal="right"/>
    </xf>
    <xf numFmtId="0" fontId="112" fillId="0" borderId="0" xfId="0" applyFont="1" applyBorder="1" applyAlignment="1">
      <alignment horizontal="left"/>
    </xf>
    <xf numFmtId="3" fontId="112" fillId="0" borderId="0" xfId="0" applyNumberFormat="1" applyFont="1" applyBorder="1" applyAlignment="1">
      <alignment horizontal="left"/>
    </xf>
    <xf numFmtId="0" fontId="0" fillId="0" borderId="93" xfId="0" applyBorder="1"/>
    <xf numFmtId="0" fontId="0" fillId="0" borderId="93" xfId="0" applyBorder="1" applyAlignment="1">
      <alignment horizontal="right"/>
    </xf>
    <xf numFmtId="0" fontId="0" fillId="0" borderId="67" xfId="0" applyBorder="1" applyAlignment="1">
      <alignment horizontal="right"/>
    </xf>
    <xf numFmtId="0" fontId="0" fillId="0" borderId="24" xfId="0" applyFill="1" applyBorder="1" applyAlignment="1">
      <alignment horizontal="right"/>
    </xf>
    <xf numFmtId="0" fontId="13" fillId="0" borderId="0" xfId="0" applyFont="1" applyBorder="1"/>
    <xf numFmtId="3" fontId="13" fillId="0" borderId="0" xfId="0" applyNumberFormat="1" applyFont="1" applyBorder="1"/>
    <xf numFmtId="0" fontId="13" fillId="0" borderId="0" xfId="0" applyFont="1" applyFill="1" applyBorder="1"/>
    <xf numFmtId="0" fontId="0" fillId="0" borderId="71" xfId="0" applyBorder="1" applyAlignment="1">
      <alignment horizontal="center"/>
    </xf>
    <xf numFmtId="0" fontId="0" fillId="0" borderId="71" xfId="0" applyBorder="1" applyAlignment="1">
      <alignment horizontal="right"/>
    </xf>
    <xf numFmtId="0" fontId="115" fillId="0" borderId="2" xfId="0" applyFont="1" applyFill="1" applyBorder="1" applyAlignment="1" applyProtection="1">
      <alignment horizontal="left"/>
    </xf>
    <xf numFmtId="0" fontId="26" fillId="0" borderId="2" xfId="0" applyFont="1" applyFill="1" applyBorder="1" applyAlignment="1" applyProtection="1">
      <alignment horizontal="left"/>
    </xf>
    <xf numFmtId="0" fontId="57" fillId="0" borderId="2" xfId="0" applyFont="1" applyFill="1" applyBorder="1" applyAlignment="1" applyProtection="1">
      <alignment horizontal="left"/>
    </xf>
    <xf numFmtId="0" fontId="56" fillId="0" borderId="2" xfId="0" applyFont="1" applyFill="1" applyBorder="1" applyAlignment="1" applyProtection="1">
      <alignment horizontal="left"/>
    </xf>
    <xf numFmtId="0" fontId="54" fillId="0" borderId="2" xfId="0" applyFont="1" applyFill="1" applyBorder="1" applyAlignment="1" applyProtection="1">
      <alignment horizontal="left" vertical="center"/>
    </xf>
    <xf numFmtId="0" fontId="54" fillId="0" borderId="2" xfId="0" applyFont="1" applyFill="1" applyBorder="1" applyAlignment="1" applyProtection="1">
      <alignment horizontal="left"/>
    </xf>
    <xf numFmtId="2" fontId="56" fillId="0" borderId="2" xfId="0" applyNumberFormat="1" applyFont="1" applyFill="1" applyBorder="1" applyAlignment="1" applyProtection="1">
      <alignment horizontal="left" vertical="center"/>
    </xf>
    <xf numFmtId="0" fontId="54" fillId="4" borderId="2" xfId="0" applyFont="1" applyFill="1" applyBorder="1" applyAlignment="1" applyProtection="1">
      <alignment horizontal="left"/>
    </xf>
    <xf numFmtId="0" fontId="54" fillId="0" borderId="2" xfId="0" applyFont="1" applyBorder="1" applyAlignment="1" applyProtection="1">
      <alignment horizontal="left" vertical="center"/>
    </xf>
    <xf numFmtId="2" fontId="54" fillId="0" borderId="2" xfId="0" quotePrefix="1" applyNumberFormat="1" applyFont="1" applyBorder="1" applyAlignment="1" applyProtection="1">
      <alignment horizontal="left"/>
    </xf>
    <xf numFmtId="2" fontId="54" fillId="0" borderId="2" xfId="0" applyNumberFormat="1" applyFont="1" applyBorder="1" applyAlignment="1" applyProtection="1">
      <alignment horizontal="left"/>
    </xf>
    <xf numFmtId="2" fontId="54" fillId="0" borderId="2" xfId="0" applyNumberFormat="1" applyFont="1" applyBorder="1" applyAlignment="1" applyProtection="1">
      <alignment horizontal="left" vertical="center"/>
    </xf>
    <xf numFmtId="0" fontId="54" fillId="0" borderId="0" xfId="0" applyFont="1" applyFill="1" applyBorder="1" applyAlignment="1" applyProtection="1">
      <alignment horizontal="left" vertical="center"/>
    </xf>
    <xf numFmtId="0" fontId="54" fillId="0" borderId="0" xfId="0" applyFont="1" applyFill="1" applyBorder="1" applyAlignment="1" applyProtection="1">
      <alignment horizontal="left"/>
    </xf>
    <xf numFmtId="2" fontId="54" fillId="0" borderId="12" xfId="0" applyNumberFormat="1" applyFont="1" applyFill="1" applyBorder="1" applyAlignment="1" applyProtection="1">
      <alignment horizontal="left"/>
    </xf>
    <xf numFmtId="2" fontId="54" fillId="0" borderId="0" xfId="0" applyNumberFormat="1" applyFont="1" applyAlignment="1" applyProtection="1">
      <alignment horizontal="left"/>
    </xf>
    <xf numFmtId="0" fontId="54" fillId="0" borderId="0" xfId="0" applyFont="1" applyAlignment="1" applyProtection="1">
      <alignment horizontal="left"/>
    </xf>
    <xf numFmtId="0" fontId="54" fillId="0" borderId="0" xfId="0" applyFont="1" applyFill="1" applyAlignment="1" applyProtection="1">
      <alignment horizontal="left"/>
    </xf>
    <xf numFmtId="0" fontId="31" fillId="0" borderId="2" xfId="0" applyFont="1" applyBorder="1" applyAlignment="1" applyProtection="1">
      <alignment horizontal="left"/>
    </xf>
    <xf numFmtId="0" fontId="111" fillId="0" borderId="2" xfId="0" applyFont="1" applyFill="1" applyBorder="1" applyProtection="1"/>
    <xf numFmtId="4" fontId="111" fillId="0" borderId="2" xfId="0" applyNumberFormat="1" applyFont="1" applyFill="1" applyBorder="1" applyAlignment="1" applyProtection="1">
      <alignment horizontal="left"/>
    </xf>
    <xf numFmtId="0" fontId="51" fillId="0" borderId="2" xfId="0" applyFont="1" applyFill="1" applyBorder="1" applyProtection="1"/>
    <xf numFmtId="0" fontId="51" fillId="0" borderId="2" xfId="0" applyFont="1" applyFill="1" applyBorder="1" applyAlignment="1" applyProtection="1">
      <alignment vertical="center"/>
    </xf>
    <xf numFmtId="0" fontId="111" fillId="0" borderId="2" xfId="0" applyFont="1" applyFill="1" applyBorder="1" applyAlignment="1" applyProtection="1">
      <alignment vertical="center"/>
    </xf>
    <xf numFmtId="2" fontId="51" fillId="0" borderId="2" xfId="0" applyNumberFormat="1" applyFont="1" applyFill="1" applyBorder="1" applyProtection="1"/>
    <xf numFmtId="2" fontId="51" fillId="2" borderId="2" xfId="0" applyNumberFormat="1" applyFont="1" applyFill="1" applyBorder="1" applyProtection="1"/>
    <xf numFmtId="3" fontId="51" fillId="0" borderId="2" xfId="0" applyNumberFormat="1" applyFont="1" applyFill="1" applyBorder="1" applyAlignment="1" applyProtection="1">
      <alignment vertical="center"/>
    </xf>
    <xf numFmtId="3" fontId="51" fillId="0" borderId="2" xfId="0" applyNumberFormat="1" applyFont="1" applyFill="1" applyBorder="1" applyProtection="1"/>
    <xf numFmtId="3" fontId="116" fillId="0" borderId="2" xfId="0" applyNumberFormat="1" applyFont="1" applyFill="1" applyBorder="1" applyProtection="1"/>
    <xf numFmtId="2" fontId="51" fillId="0" borderId="2" xfId="0" applyNumberFormat="1" applyFont="1" applyFill="1" applyBorder="1" applyAlignment="1" applyProtection="1">
      <alignment vertical="center"/>
    </xf>
    <xf numFmtId="2" fontId="51" fillId="0" borderId="2" xfId="0" quotePrefix="1" applyNumberFormat="1" applyFont="1" applyFill="1" applyBorder="1" applyAlignment="1" applyProtection="1">
      <alignment horizontal="left"/>
    </xf>
    <xf numFmtId="2" fontId="51" fillId="0" borderId="2" xfId="0" quotePrefix="1" applyNumberFormat="1" applyFont="1" applyFill="1" applyBorder="1" applyAlignment="1" applyProtection="1">
      <alignment horizontal="left" wrapText="1"/>
    </xf>
    <xf numFmtId="0" fontId="51" fillId="0" borderId="2" xfId="0" applyFont="1" applyBorder="1" applyProtection="1"/>
    <xf numFmtId="0" fontId="51" fillId="0" borderId="2" xfId="0" applyFont="1" applyBorder="1" applyAlignment="1" applyProtection="1">
      <alignment vertical="center"/>
    </xf>
    <xf numFmtId="0" fontId="51" fillId="0" borderId="0" xfId="0" applyFont="1" applyBorder="1" applyAlignment="1" applyProtection="1">
      <alignment vertical="center"/>
    </xf>
    <xf numFmtId="0" fontId="51" fillId="0" borderId="0" xfId="0" applyFont="1" applyBorder="1" applyProtection="1"/>
    <xf numFmtId="0" fontId="51" fillId="0" borderId="0" xfId="0" applyFont="1" applyFill="1" applyProtection="1"/>
    <xf numFmtId="0" fontId="15" fillId="0" borderId="0" xfId="0" applyFont="1" applyBorder="1" applyProtection="1">
      <protection locked="0"/>
    </xf>
    <xf numFmtId="0" fontId="5" fillId="0" borderId="3" xfId="0" applyFont="1" applyFill="1" applyBorder="1" applyAlignment="1" applyProtection="1">
      <alignment horizontal="center" vertical="center"/>
      <protection locked="0"/>
    </xf>
    <xf numFmtId="0" fontId="0" fillId="0" borderId="46" xfId="0" applyBorder="1"/>
    <xf numFmtId="10" fontId="110" fillId="16" borderId="91" xfId="0" applyNumberFormat="1" applyFont="1" applyFill="1" applyBorder="1" applyAlignment="1" applyProtection="1">
      <alignment horizontal="right" vertical="center" wrapText="1"/>
      <protection locked="0"/>
    </xf>
    <xf numFmtId="0" fontId="0" fillId="0" borderId="21" xfId="0" applyFill="1" applyBorder="1" applyAlignment="1">
      <alignment wrapText="1"/>
    </xf>
    <xf numFmtId="10" fontId="0" fillId="0" borderId="53" xfId="0" applyNumberFormat="1" applyFill="1" applyBorder="1" applyAlignment="1">
      <alignment wrapText="1"/>
    </xf>
    <xf numFmtId="10" fontId="0" fillId="0" borderId="53" xfId="0" applyNumberFormat="1" applyBorder="1"/>
    <xf numFmtId="0" fontId="0" fillId="0" borderId="39" xfId="0" applyFill="1" applyBorder="1" applyAlignment="1">
      <alignment wrapText="1"/>
    </xf>
    <xf numFmtId="10" fontId="0" fillId="0" borderId="72" xfId="0" applyNumberFormat="1" applyBorder="1"/>
    <xf numFmtId="5" fontId="0" fillId="0" borderId="0" xfId="0" applyNumberFormat="1"/>
    <xf numFmtId="0" fontId="0" fillId="0" borderId="99" xfId="0" applyBorder="1" applyAlignment="1">
      <alignment horizontal="right"/>
    </xf>
    <xf numFmtId="0" fontId="0" fillId="0" borderId="75" xfId="0" applyBorder="1" applyAlignment="1">
      <alignment horizontal="right"/>
    </xf>
    <xf numFmtId="0" fontId="0" fillId="0" borderId="94" xfId="0" applyBorder="1" applyAlignment="1" applyProtection="1">
      <alignment horizontal="right"/>
      <protection locked="0"/>
    </xf>
    <xf numFmtId="0" fontId="13" fillId="0" borderId="0" xfId="0" applyFont="1" applyBorder="1" applyAlignment="1">
      <alignment horizontal="left"/>
    </xf>
    <xf numFmtId="0" fontId="0" fillId="0" borderId="24" xfId="0" applyBorder="1" applyAlignment="1">
      <alignment horizontal="left"/>
    </xf>
    <xf numFmtId="0" fontId="0" fillId="0" borderId="67" xfId="0" applyBorder="1" applyAlignment="1">
      <alignment horizontal="left"/>
    </xf>
    <xf numFmtId="0" fontId="40" fillId="0" borderId="50" xfId="0" applyFont="1" applyBorder="1" applyAlignment="1" applyProtection="1">
      <alignment horizontal="left"/>
    </xf>
    <xf numFmtId="0" fontId="34" fillId="0" borderId="3" xfId="0" applyFont="1" applyBorder="1" applyAlignment="1" applyProtection="1">
      <alignment horizontal="left"/>
    </xf>
    <xf numFmtId="2" fontId="40" fillId="2" borderId="3" xfId="0" applyNumberFormat="1" applyFont="1" applyFill="1" applyBorder="1" applyAlignment="1" applyProtection="1">
      <alignment horizontal="right"/>
    </xf>
    <xf numFmtId="0" fontId="4" fillId="2" borderId="2" xfId="0" applyFont="1" applyFill="1" applyBorder="1" applyProtection="1"/>
    <xf numFmtId="2" fontId="40" fillId="0" borderId="3" xfId="0" applyNumberFormat="1" applyFont="1" applyFill="1" applyBorder="1" applyAlignment="1" applyProtection="1">
      <alignment horizontal="right"/>
    </xf>
    <xf numFmtId="0" fontId="37" fillId="9" borderId="41" xfId="0" applyFont="1" applyFill="1" applyBorder="1" applyAlignment="1" applyProtection="1">
      <alignment vertical="center"/>
    </xf>
    <xf numFmtId="0" fontId="37" fillId="9" borderId="48" xfId="0" applyFont="1" applyFill="1" applyBorder="1" applyAlignment="1" applyProtection="1">
      <alignment vertical="center"/>
    </xf>
    <xf numFmtId="0" fontId="33" fillId="0" borderId="0" xfId="0" applyFont="1" applyBorder="1"/>
    <xf numFmtId="0" fontId="37" fillId="0" borderId="0" xfId="0" applyFont="1" applyBorder="1"/>
    <xf numFmtId="0" fontId="0" fillId="4" borderId="40" xfId="0" applyFill="1" applyBorder="1" applyAlignment="1" applyProtection="1">
      <alignment vertical="top" wrapText="1"/>
      <protection locked="0"/>
    </xf>
    <xf numFmtId="175" fontId="20" fillId="4" borderId="64" xfId="0" applyNumberFormat="1" applyFont="1" applyFill="1" applyBorder="1" applyAlignment="1" applyProtection="1">
      <alignment horizontal="center"/>
    </xf>
    <xf numFmtId="0" fontId="29" fillId="4" borderId="74" xfId="0" applyFont="1" applyFill="1" applyBorder="1" applyProtection="1"/>
    <xf numFmtId="0" fontId="31" fillId="0" borderId="2" xfId="0" applyFont="1" applyFill="1" applyBorder="1" applyAlignment="1" applyProtection="1">
      <alignment horizontal="left"/>
    </xf>
    <xf numFmtId="0" fontId="0" fillId="0" borderId="22" xfId="0" applyBorder="1" applyAlignment="1" applyProtection="1">
      <alignment horizontal="left" vertical="top" wrapText="1"/>
      <protection locked="0"/>
    </xf>
    <xf numFmtId="0" fontId="29" fillId="0" borderId="52" xfId="0" applyFont="1" applyBorder="1" applyProtection="1"/>
    <xf numFmtId="0" fontId="38" fillId="0" borderId="51" xfId="0" applyFont="1" applyBorder="1" applyAlignment="1" applyProtection="1">
      <alignment vertical="center"/>
    </xf>
    <xf numFmtId="0" fontId="38" fillId="0" borderId="1" xfId="0" applyFont="1" applyFill="1" applyBorder="1" applyProtection="1"/>
    <xf numFmtId="0" fontId="37" fillId="0" borderId="12" xfId="0" applyFont="1" applyFill="1" applyBorder="1" applyProtection="1"/>
    <xf numFmtId="0" fontId="40" fillId="0" borderId="12" xfId="0" applyFont="1" applyFill="1" applyBorder="1" applyAlignment="1" applyProtection="1">
      <alignment horizontal="left"/>
    </xf>
    <xf numFmtId="3" fontId="40" fillId="0" borderId="12" xfId="0" applyNumberFormat="1" applyFont="1" applyFill="1" applyBorder="1" applyProtection="1"/>
    <xf numFmtId="4" fontId="40" fillId="0" borderId="12" xfId="0" applyNumberFormat="1" applyFont="1" applyFill="1" applyBorder="1" applyProtection="1"/>
    <xf numFmtId="0" fontId="40" fillId="0" borderId="12" xfId="0" applyFont="1" applyFill="1" applyBorder="1" applyProtection="1"/>
    <xf numFmtId="2" fontId="40" fillId="0" borderId="12" xfId="0" applyNumberFormat="1" applyFont="1" applyFill="1" applyBorder="1" applyProtection="1"/>
    <xf numFmtId="2" fontId="0" fillId="0" borderId="0" xfId="0" applyNumberFormat="1" applyAlignment="1" applyProtection="1">
      <alignment vertical="center"/>
      <protection locked="0"/>
    </xf>
    <xf numFmtId="0" fontId="47" fillId="0" borderId="2" xfId="0" applyFont="1" applyFill="1" applyBorder="1" applyProtection="1"/>
    <xf numFmtId="0" fontId="38" fillId="0" borderId="51" xfId="0" applyFont="1" applyFill="1" applyBorder="1" applyAlignment="1" applyProtection="1">
      <alignment vertical="center"/>
    </xf>
    <xf numFmtId="0" fontId="37" fillId="0" borderId="2" xfId="0" applyFont="1" applyFill="1" applyBorder="1" applyAlignment="1" applyProtection="1">
      <alignment horizontal="left"/>
    </xf>
    <xf numFmtId="0" fontId="44" fillId="0" borderId="2" xfId="0" applyFont="1" applyFill="1" applyBorder="1" applyProtection="1"/>
    <xf numFmtId="2" fontId="44" fillId="0" borderId="2" xfId="0" applyNumberFormat="1" applyFont="1" applyFill="1" applyBorder="1" applyProtection="1"/>
    <xf numFmtId="0" fontId="37" fillId="0" borderId="0" xfId="0" applyFont="1" applyFill="1" applyAlignment="1" applyProtection="1">
      <alignment vertical="center"/>
    </xf>
    <xf numFmtId="0" fontId="35" fillId="0" borderId="7" xfId="0" applyFont="1" applyBorder="1" applyAlignment="1" applyProtection="1">
      <alignment horizontal="left" vertical="center"/>
    </xf>
    <xf numFmtId="0" fontId="3" fillId="0" borderId="0" xfId="0" applyFont="1"/>
    <xf numFmtId="0" fontId="2" fillId="0" borderId="0" xfId="0" applyFont="1"/>
    <xf numFmtId="0" fontId="118" fillId="0" borderId="0" xfId="4"/>
    <xf numFmtId="0" fontId="5" fillId="0" borderId="5" xfId="0" applyFont="1" applyBorder="1" applyAlignment="1" applyProtection="1">
      <alignment vertical="center"/>
    </xf>
    <xf numFmtId="0" fontId="5" fillId="2" borderId="11" xfId="0" applyFont="1" applyFill="1" applyBorder="1" applyProtection="1"/>
    <xf numFmtId="0" fontId="4" fillId="0" borderId="3" xfId="0" applyFont="1" applyBorder="1" applyProtection="1"/>
    <xf numFmtId="0" fontId="4" fillId="17" borderId="101" xfId="0" applyFont="1" applyFill="1" applyBorder="1" applyProtection="1"/>
    <xf numFmtId="0" fontId="4" fillId="17" borderId="68" xfId="0" applyFont="1" applyFill="1" applyBorder="1" applyProtection="1"/>
    <xf numFmtId="0" fontId="4" fillId="17" borderId="102" xfId="0" applyFont="1" applyFill="1" applyBorder="1" applyProtection="1"/>
    <xf numFmtId="0" fontId="4" fillId="17" borderId="67" xfId="0" applyFont="1" applyFill="1" applyBorder="1" applyProtection="1"/>
    <xf numFmtId="2" fontId="4" fillId="0" borderId="0" xfId="0" applyNumberFormat="1" applyFont="1" applyProtection="1"/>
    <xf numFmtId="3" fontId="2" fillId="3" borderId="2" xfId="0" quotePrefix="1" applyNumberFormat="1" applyFont="1" applyFill="1" applyBorder="1" applyAlignment="1" applyProtection="1">
      <alignment horizontal="center" vertical="center"/>
      <protection locked="0"/>
    </xf>
    <xf numFmtId="167" fontId="0" fillId="18" borderId="1" xfId="0" applyNumberFormat="1" applyFill="1" applyBorder="1" applyAlignment="1" applyProtection="1">
      <alignment horizontal="center"/>
    </xf>
    <xf numFmtId="176" fontId="15" fillId="0" borderId="0" xfId="0" applyNumberFormat="1" applyFont="1" applyProtection="1"/>
    <xf numFmtId="167" fontId="0" fillId="18" borderId="13" xfId="0" applyNumberFormat="1" applyFill="1" applyBorder="1" applyAlignment="1" applyProtection="1">
      <alignment horizontal="center"/>
    </xf>
    <xf numFmtId="167" fontId="0" fillId="18" borderId="17" xfId="0" applyNumberFormat="1" applyFill="1" applyBorder="1" applyAlignment="1" applyProtection="1">
      <alignment horizontal="center"/>
    </xf>
    <xf numFmtId="167" fontId="3" fillId="18" borderId="17" xfId="0" applyNumberFormat="1" applyFont="1" applyFill="1" applyBorder="1" applyAlignment="1" applyProtection="1">
      <alignment horizontal="center"/>
    </xf>
    <xf numFmtId="167" fontId="0" fillId="18" borderId="30" xfId="0" applyNumberFormat="1" applyFill="1" applyBorder="1" applyAlignment="1" applyProtection="1">
      <alignment horizontal="center"/>
    </xf>
    <xf numFmtId="167" fontId="3" fillId="18" borderId="17" xfId="0" applyNumberFormat="1" applyFont="1" applyFill="1" applyBorder="1" applyAlignment="1" applyProtection="1">
      <alignment horizontal="center" vertical="center"/>
    </xf>
    <xf numFmtId="167" fontId="0" fillId="18" borderId="5" xfId="0" applyNumberFormat="1" applyFill="1" applyBorder="1" applyAlignment="1" applyProtection="1">
      <alignment horizontal="center"/>
    </xf>
    <xf numFmtId="167" fontId="0" fillId="18" borderId="8" xfId="0" applyNumberFormat="1" applyFill="1" applyBorder="1" applyAlignment="1" applyProtection="1">
      <alignment horizontal="center"/>
    </xf>
    <xf numFmtId="0" fontId="0" fillId="5" borderId="103" xfId="0" applyFill="1" applyBorder="1" applyAlignment="1" applyProtection="1">
      <alignment vertical="center"/>
    </xf>
    <xf numFmtId="0" fontId="39" fillId="0" borderId="2" xfId="0" applyFont="1" applyFill="1" applyBorder="1" applyAlignment="1" applyProtection="1">
      <alignment vertical="center"/>
    </xf>
    <xf numFmtId="2" fontId="7" fillId="0" borderId="2" xfId="0" applyNumberFormat="1" applyFont="1" applyFill="1" applyBorder="1" applyAlignment="1" applyProtection="1">
      <alignment horizontal="right"/>
    </xf>
    <xf numFmtId="0" fontId="4" fillId="0" borderId="22" xfId="0" applyFont="1" applyBorder="1" applyProtection="1">
      <protection locked="0"/>
    </xf>
    <xf numFmtId="0" fontId="4" fillId="0" borderId="40" xfId="0" applyFont="1" applyBorder="1" applyProtection="1">
      <protection locked="0"/>
    </xf>
    <xf numFmtId="0" fontId="4" fillId="0" borderId="20" xfId="0" applyFont="1" applyBorder="1" applyProtection="1">
      <protection locked="0"/>
    </xf>
    <xf numFmtId="0" fontId="4" fillId="0" borderId="10" xfId="0" applyFont="1" applyBorder="1" applyAlignment="1" applyProtection="1">
      <alignment vertical="center"/>
    </xf>
    <xf numFmtId="0" fontId="4" fillId="0" borderId="23" xfId="0" applyFont="1" applyBorder="1" applyAlignment="1" applyProtection="1">
      <alignment vertical="center"/>
    </xf>
    <xf numFmtId="0" fontId="4" fillId="0" borderId="17" xfId="0" applyFont="1" applyBorder="1" applyProtection="1"/>
    <xf numFmtId="0" fontId="4" fillId="0" borderId="10" xfId="0" applyFont="1" applyBorder="1" applyProtection="1"/>
    <xf numFmtId="0" fontId="4" fillId="0" borderId="23" xfId="0" applyFont="1" applyBorder="1" applyProtection="1"/>
    <xf numFmtId="0" fontId="0" fillId="0" borderId="17" xfId="0" applyBorder="1" applyProtection="1">
      <protection locked="0"/>
    </xf>
    <xf numFmtId="0" fontId="16" fillId="0" borderId="10" xfId="0" applyFont="1" applyBorder="1" applyProtection="1">
      <protection locked="0"/>
    </xf>
    <xf numFmtId="0" fontId="16" fillId="0" borderId="23" xfId="0" applyFont="1" applyBorder="1" applyProtection="1">
      <protection locked="0"/>
    </xf>
    <xf numFmtId="0" fontId="45" fillId="0" borderId="2" xfId="0" applyFont="1" applyFill="1" applyBorder="1" applyAlignment="1" applyProtection="1">
      <alignment horizontal="left"/>
    </xf>
    <xf numFmtId="0" fontId="0" fillId="0" borderId="18" xfId="0" applyBorder="1" applyProtection="1">
      <protection locked="0"/>
    </xf>
    <xf numFmtId="0" fontId="0" fillId="0" borderId="24" xfId="0" applyBorder="1" applyProtection="1">
      <protection locked="0"/>
    </xf>
    <xf numFmtId="0" fontId="19" fillId="0" borderId="0" xfId="0" applyFont="1" applyBorder="1" applyProtection="1">
      <protection locked="0"/>
    </xf>
    <xf numFmtId="0" fontId="16" fillId="0" borderId="0" xfId="0" applyFont="1" applyBorder="1" applyProtection="1">
      <protection locked="0"/>
    </xf>
    <xf numFmtId="10" fontId="3" fillId="0" borderId="27" xfId="0" quotePrefix="1" applyNumberFormat="1" applyFont="1" applyBorder="1" applyAlignment="1" applyProtection="1">
      <alignment vertical="center"/>
    </xf>
    <xf numFmtId="0" fontId="0" fillId="0" borderId="22" xfId="0"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0" fontId="0" fillId="11" borderId="19" xfId="0" applyFill="1" applyBorder="1" applyAlignment="1" applyProtection="1">
      <alignment horizontal="center" vertical="top" wrapText="1"/>
      <protection locked="0"/>
    </xf>
    <xf numFmtId="0" fontId="0" fillId="11" borderId="20" xfId="0" applyFill="1" applyBorder="1" applyAlignment="1" applyProtection="1">
      <alignment horizontal="center" vertical="top" wrapText="1"/>
      <protection locked="0"/>
    </xf>
    <xf numFmtId="0" fontId="3" fillId="0" borderId="0" xfId="0" applyFont="1" applyFill="1" applyBorder="1" applyProtection="1"/>
    <xf numFmtId="175" fontId="15" fillId="0" borderId="8" xfId="0" applyNumberFormat="1" applyFont="1" applyBorder="1" applyAlignment="1" applyProtection="1">
      <alignment horizontal="center" vertical="center"/>
    </xf>
    <xf numFmtId="0" fontId="2" fillId="0" borderId="9" xfId="0" applyFont="1" applyBorder="1" applyAlignment="1" applyProtection="1">
      <alignment horizontal="left" vertical="center"/>
    </xf>
    <xf numFmtId="0" fontId="39" fillId="0" borderId="2" xfId="0" applyFont="1" applyFill="1" applyBorder="1" applyAlignment="1" applyProtection="1">
      <alignment horizontal="left"/>
    </xf>
    <xf numFmtId="0" fontId="44" fillId="0" borderId="2" xfId="0" quotePrefix="1" applyFont="1" applyFill="1" applyBorder="1" applyAlignment="1" applyProtection="1">
      <alignment horizontal="left"/>
    </xf>
    <xf numFmtId="0" fontId="44" fillId="0" borderId="2" xfId="0" applyFont="1" applyFill="1" applyBorder="1" applyAlignment="1" applyProtection="1">
      <alignment horizontal="left"/>
    </xf>
    <xf numFmtId="2" fontId="44" fillId="0" borderId="2" xfId="0" quotePrefix="1" applyNumberFormat="1" applyFont="1" applyFill="1" applyBorder="1" applyAlignment="1" applyProtection="1">
      <alignment horizontal="right"/>
    </xf>
    <xf numFmtId="0" fontId="37" fillId="0" borderId="27" xfId="0" applyFont="1" applyFill="1" applyBorder="1" applyProtection="1"/>
    <xf numFmtId="0" fontId="37" fillId="0" borderId="27" xfId="0" applyFont="1" applyFill="1" applyBorder="1" applyAlignment="1" applyProtection="1">
      <alignment horizontal="left"/>
    </xf>
    <xf numFmtId="0" fontId="39" fillId="0" borderId="12" xfId="0" applyFont="1" applyBorder="1" applyProtection="1"/>
    <xf numFmtId="2" fontId="40" fillId="0" borderId="2" xfId="0" applyNumberFormat="1" applyFont="1" applyFill="1" applyBorder="1" applyAlignment="1" applyProtection="1">
      <alignment horizontal="right"/>
    </xf>
    <xf numFmtId="3" fontId="2" fillId="0" borderId="21" xfId="0" applyNumberFormat="1" applyFont="1" applyFill="1" applyBorder="1" applyAlignment="1" applyProtection="1">
      <alignment horizontal="center" vertical="center"/>
    </xf>
    <xf numFmtId="0" fontId="3" fillId="0" borderId="2" xfId="0" applyFont="1" applyBorder="1" applyProtection="1">
      <protection locked="0"/>
    </xf>
    <xf numFmtId="0" fontId="0" fillId="0" borderId="2" xfId="0" applyBorder="1" applyProtection="1">
      <protection locked="0"/>
    </xf>
    <xf numFmtId="2" fontId="40" fillId="0" borderId="12" xfId="0" applyNumberFormat="1" applyFont="1" applyFill="1" applyBorder="1" applyAlignment="1" applyProtection="1">
      <alignment horizontal="right"/>
    </xf>
    <xf numFmtId="0" fontId="39" fillId="0" borderId="12" xfId="0" applyFont="1" applyBorder="1" applyAlignment="1" applyProtection="1">
      <alignment horizontal="left"/>
    </xf>
    <xf numFmtId="0" fontId="39" fillId="0" borderId="2" xfId="0" applyFont="1" applyFill="1" applyBorder="1" applyAlignment="1" applyProtection="1">
      <alignment horizontal="center" vertical="center"/>
    </xf>
    <xf numFmtId="0" fontId="51" fillId="0" borderId="2" xfId="0" applyFont="1" applyFill="1" applyBorder="1" applyAlignment="1" applyProtection="1">
      <alignment horizontal="center"/>
    </xf>
    <xf numFmtId="0" fontId="2" fillId="0" borderId="2" xfId="0" applyFont="1" applyBorder="1" applyAlignment="1" applyProtection="1">
      <alignment horizontal="left" vertical="center"/>
    </xf>
    <xf numFmtId="2" fontId="40" fillId="0" borderId="52" xfId="0" applyNumberFormat="1" applyFont="1" applyBorder="1" applyProtection="1"/>
    <xf numFmtId="49" fontId="4" fillId="0" borderId="17" xfId="0" applyNumberFormat="1" applyFont="1" applyBorder="1" applyAlignment="1" applyProtection="1">
      <alignment horizontal="center"/>
    </xf>
    <xf numFmtId="0" fontId="4" fillId="0" borderId="18" xfId="0" applyFont="1" applyBorder="1" applyProtection="1"/>
    <xf numFmtId="0" fontId="4" fillId="0" borderId="18" xfId="0" applyFont="1" applyBorder="1" applyAlignment="1" applyProtection="1">
      <alignment horizontal="right"/>
    </xf>
    <xf numFmtId="49" fontId="5" fillId="0" borderId="10" xfId="0" applyNumberFormat="1" applyFont="1" applyBorder="1" applyAlignment="1" applyProtection="1">
      <alignment horizontal="left"/>
    </xf>
    <xf numFmtId="0" fontId="4" fillId="0" borderId="0" xfId="0" applyFont="1" applyBorder="1" applyAlignment="1" applyProtection="1">
      <alignment horizontal="right"/>
    </xf>
    <xf numFmtId="0" fontId="4" fillId="0" borderId="22" xfId="0" applyFont="1" applyBorder="1" applyProtection="1"/>
    <xf numFmtId="0" fontId="7" fillId="0" borderId="0" xfId="0" applyFont="1" applyBorder="1" applyAlignment="1" applyProtection="1">
      <alignment horizontal="center"/>
    </xf>
    <xf numFmtId="0" fontId="35" fillId="0" borderId="7" xfId="0" applyFont="1" applyBorder="1" applyAlignment="1" applyProtection="1">
      <alignment horizontal="left"/>
    </xf>
    <xf numFmtId="2" fontId="39" fillId="0" borderId="12" xfId="0" applyNumberFormat="1" applyFont="1" applyFill="1" applyBorder="1" applyAlignment="1" applyProtection="1">
      <alignment horizontal="right"/>
    </xf>
    <xf numFmtId="0" fontId="0" fillId="0" borderId="22" xfId="0" applyBorder="1" applyAlignment="1" applyProtection="1">
      <alignment vertical="top" wrapText="1"/>
      <protection locked="0"/>
    </xf>
    <xf numFmtId="0" fontId="0" fillId="0" borderId="40" xfId="0" applyBorder="1" applyAlignment="1" applyProtection="1">
      <alignment vertical="top" wrapText="1"/>
      <protection locked="0"/>
    </xf>
    <xf numFmtId="3" fontId="22" fillId="3" borderId="2" xfId="0" applyNumberFormat="1" applyFont="1" applyFill="1" applyBorder="1" applyAlignment="1" applyProtection="1">
      <alignment horizontal="center" vertical="center"/>
      <protection locked="0"/>
    </xf>
    <xf numFmtId="3" fontId="22" fillId="3" borderId="9" xfId="0" applyNumberFormat="1" applyFont="1" applyFill="1" applyBorder="1" applyAlignment="1" applyProtection="1">
      <alignment horizontal="center" vertical="center"/>
      <protection locked="0"/>
    </xf>
    <xf numFmtId="3" fontId="22" fillId="6" borderId="2" xfId="0" applyNumberFormat="1" applyFont="1" applyFill="1" applyBorder="1" applyAlignment="1" applyProtection="1">
      <alignment horizontal="center" vertical="center"/>
      <protection locked="0"/>
    </xf>
    <xf numFmtId="3" fontId="22" fillId="3" borderId="12" xfId="0" applyNumberFormat="1" applyFont="1" applyFill="1" applyBorder="1" applyAlignment="1" applyProtection="1">
      <alignment horizontal="center" vertical="center"/>
      <protection locked="0"/>
    </xf>
    <xf numFmtId="9" fontId="8" fillId="0" borderId="13" xfId="0" applyNumberFormat="1" applyFont="1" applyFill="1" applyBorder="1" applyAlignment="1" applyProtection="1">
      <alignment horizontal="center" vertical="center"/>
    </xf>
    <xf numFmtId="3" fontId="22" fillId="6" borderId="42" xfId="0" applyNumberFormat="1" applyFont="1" applyFill="1" applyBorder="1" applyAlignment="1" applyProtection="1">
      <alignment horizontal="center" vertical="center"/>
      <protection locked="0"/>
    </xf>
    <xf numFmtId="3" fontId="0" fillId="4" borderId="21" xfId="0" applyNumberFormat="1" applyFill="1" applyBorder="1" applyAlignment="1" applyProtection="1">
      <alignment horizontal="center"/>
    </xf>
    <xf numFmtId="3" fontId="2" fillId="3" borderId="2" xfId="0" applyNumberFormat="1" applyFont="1" applyFill="1" applyBorder="1" applyAlignment="1" applyProtection="1">
      <alignment horizontal="center" vertical="center"/>
      <protection locked="0"/>
    </xf>
    <xf numFmtId="3" fontId="2" fillId="3" borderId="9" xfId="0" applyNumberFormat="1" applyFont="1" applyFill="1" applyBorder="1" applyAlignment="1" applyProtection="1">
      <alignment horizontal="center" vertical="center"/>
      <protection locked="0"/>
    </xf>
    <xf numFmtId="3" fontId="22" fillId="3" borderId="2" xfId="0" applyNumberFormat="1" applyFont="1" applyFill="1" applyBorder="1" applyAlignment="1" applyProtection="1">
      <alignment horizontal="center"/>
      <protection locked="0"/>
    </xf>
    <xf numFmtId="3" fontId="22" fillId="3" borderId="4" xfId="0" applyNumberFormat="1" applyFont="1" applyFill="1" applyBorder="1" applyAlignment="1" applyProtection="1">
      <alignment horizontal="center"/>
      <protection locked="0"/>
    </xf>
    <xf numFmtId="3" fontId="0" fillId="4" borderId="35" xfId="0" applyNumberFormat="1" applyFill="1" applyBorder="1" applyAlignment="1" applyProtection="1">
      <alignment horizontal="center"/>
    </xf>
    <xf numFmtId="3" fontId="22" fillId="4" borderId="37" xfId="0" applyNumberFormat="1" applyFont="1" applyFill="1" applyBorder="1" applyAlignment="1" applyProtection="1">
      <alignment horizontal="center"/>
      <protection locked="0"/>
    </xf>
    <xf numFmtId="9" fontId="22" fillId="3" borderId="37" xfId="3" applyFont="1" applyFill="1" applyBorder="1" applyAlignment="1" applyProtection="1">
      <alignment horizontal="center"/>
      <protection locked="0"/>
    </xf>
    <xf numFmtId="3" fontId="22" fillId="3" borderId="9" xfId="2" applyNumberFormat="1" applyFont="1" applyFill="1" applyBorder="1" applyAlignment="1" applyProtection="1">
      <alignment horizontal="center"/>
      <protection locked="0"/>
    </xf>
    <xf numFmtId="3" fontId="22" fillId="3" borderId="52" xfId="2" applyNumberFormat="1" applyFont="1" applyFill="1" applyBorder="1" applyAlignment="1" applyProtection="1">
      <alignment horizontal="center"/>
      <protection locked="0"/>
    </xf>
    <xf numFmtId="0" fontId="0" fillId="3" borderId="9" xfId="0" applyFill="1" applyBorder="1" applyAlignment="1" applyProtection="1">
      <alignment horizontal="center"/>
      <protection locked="0"/>
    </xf>
    <xf numFmtId="171" fontId="22" fillId="0" borderId="23" xfId="2" applyNumberFormat="1" applyFont="1" applyFill="1" applyBorder="1" applyAlignment="1" applyProtection="1">
      <alignment horizontal="center"/>
    </xf>
    <xf numFmtId="171" fontId="22" fillId="0" borderId="0" xfId="2" applyNumberFormat="1" applyFont="1" applyFill="1" applyBorder="1" applyAlignment="1" applyProtection="1">
      <alignment horizontal="center"/>
    </xf>
    <xf numFmtId="3" fontId="0" fillId="0" borderId="0" xfId="0" applyNumberFormat="1" applyAlignment="1">
      <alignment horizontal="center"/>
    </xf>
    <xf numFmtId="3" fontId="0" fillId="0" borderId="0" xfId="0" applyNumberFormat="1" applyAlignment="1" applyProtection="1">
      <alignment horizontal="center"/>
    </xf>
    <xf numFmtId="164" fontId="25" fillId="0" borderId="0" xfId="0" applyNumberFormat="1" applyFont="1" applyBorder="1" applyAlignment="1" applyProtection="1">
      <alignment horizontal="center"/>
    </xf>
    <xf numFmtId="0" fontId="25" fillId="0" borderId="0" xfId="0" applyFont="1" applyBorder="1" applyAlignment="1" applyProtection="1">
      <alignment horizontal="center"/>
    </xf>
    <xf numFmtId="0" fontId="15" fillId="0" borderId="0" xfId="0" applyFont="1" applyAlignment="1" applyProtection="1">
      <alignment horizontal="center"/>
    </xf>
    <xf numFmtId="0" fontId="0" fillId="0" borderId="0" xfId="0" applyBorder="1" applyAlignment="1" applyProtection="1">
      <alignment horizontal="center"/>
    </xf>
    <xf numFmtId="9" fontId="22" fillId="3" borderId="2" xfId="0" applyNumberFormat="1" applyFont="1" applyFill="1" applyBorder="1" applyAlignment="1" applyProtection="1">
      <alignment horizontal="center" vertical="center"/>
      <protection locked="0"/>
    </xf>
    <xf numFmtId="9" fontId="28" fillId="4" borderId="2" xfId="0" applyNumberFormat="1" applyFont="1" applyFill="1" applyBorder="1" applyAlignment="1" applyProtection="1">
      <alignment horizontal="center" vertical="center"/>
    </xf>
    <xf numFmtId="9" fontId="28" fillId="4" borderId="3" xfId="0" applyNumberFormat="1" applyFont="1" applyFill="1" applyBorder="1" applyAlignment="1" applyProtection="1">
      <alignment horizontal="center" vertical="center"/>
    </xf>
    <xf numFmtId="9" fontId="28" fillId="4" borderId="9" xfId="0" applyNumberFormat="1" applyFont="1" applyFill="1" applyBorder="1" applyAlignment="1" applyProtection="1">
      <alignment horizontal="center" vertical="center"/>
    </xf>
    <xf numFmtId="9" fontId="0" fillId="4" borderId="0" xfId="0" applyNumberFormat="1" applyFill="1" applyBorder="1" applyAlignment="1" applyProtection="1">
      <alignment horizontal="center"/>
    </xf>
    <xf numFmtId="1" fontId="22" fillId="0" borderId="27" xfId="0" applyNumberFormat="1" applyFont="1" applyFill="1" applyBorder="1" applyAlignment="1" applyProtection="1">
      <alignment horizontal="center" vertical="center"/>
    </xf>
    <xf numFmtId="9" fontId="22" fillId="3" borderId="2" xfId="0" applyNumberFormat="1" applyFont="1" applyFill="1" applyBorder="1" applyAlignment="1" applyProtection="1">
      <alignment horizontal="center"/>
      <protection locked="0"/>
    </xf>
    <xf numFmtId="9" fontId="0" fillId="0" borderId="19" xfId="0" applyNumberFormat="1" applyFill="1" applyBorder="1" applyAlignment="1" applyProtection="1">
      <alignment horizontal="center" vertical="top" wrapText="1"/>
      <protection locked="0"/>
    </xf>
    <xf numFmtId="0" fontId="0" fillId="0" borderId="25" xfId="0" applyBorder="1" applyAlignment="1" applyProtection="1">
      <alignment horizontal="center" vertical="top" wrapText="1"/>
      <protection locked="0"/>
    </xf>
    <xf numFmtId="0" fontId="0" fillId="4" borderId="24" xfId="0" applyFill="1" applyBorder="1" applyAlignment="1" applyProtection="1">
      <alignment horizontal="center" vertical="top" wrapText="1"/>
      <protection locked="0"/>
    </xf>
    <xf numFmtId="0" fontId="0" fillId="0" borderId="19" xfId="0" applyFill="1"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0" fillId="0" borderId="39" xfId="0" applyBorder="1" applyAlignment="1" applyProtection="1">
      <alignment horizontal="center" vertical="top" wrapText="1"/>
      <protection locked="0"/>
    </xf>
    <xf numFmtId="0" fontId="105" fillId="4" borderId="25" xfId="0" applyFont="1" applyFill="1" applyBorder="1" applyAlignment="1" applyProtection="1">
      <alignment horizontal="center"/>
    </xf>
    <xf numFmtId="0" fontId="24" fillId="0" borderId="24" xfId="0" applyFont="1" applyBorder="1" applyAlignment="1" applyProtection="1">
      <alignment horizontal="center"/>
    </xf>
    <xf numFmtId="0" fontId="24" fillId="0" borderId="0" xfId="0" applyFont="1" applyAlignment="1" applyProtection="1">
      <alignment horizontal="center"/>
    </xf>
    <xf numFmtId="0" fontId="0" fillId="0" borderId="0" xfId="0" applyAlignment="1" applyProtection="1">
      <alignment horizontal="center" vertical="center"/>
    </xf>
    <xf numFmtId="37" fontId="22" fillId="0" borderId="43" xfId="0" applyNumberFormat="1" applyFont="1" applyFill="1" applyBorder="1" applyAlignment="1" applyProtection="1">
      <alignment horizontal="center" vertical="center"/>
    </xf>
    <xf numFmtId="3" fontId="0" fillId="6" borderId="7" xfId="0" applyNumberFormat="1" applyFill="1" applyBorder="1" applyAlignment="1" applyProtection="1">
      <alignment horizontal="center"/>
      <protection locked="0"/>
    </xf>
    <xf numFmtId="3" fontId="0" fillId="2" borderId="2" xfId="0" applyNumberFormat="1" applyFill="1" applyBorder="1" applyAlignment="1" applyProtection="1">
      <alignment horizontal="center"/>
    </xf>
    <xf numFmtId="3" fontId="3" fillId="0" borderId="2" xfId="0" applyNumberFormat="1" applyFont="1" applyBorder="1" applyAlignment="1" applyProtection="1">
      <alignment horizontal="center"/>
    </xf>
    <xf numFmtId="3" fontId="0" fillId="3" borderId="2" xfId="0" applyNumberFormat="1" applyFill="1" applyBorder="1" applyAlignment="1" applyProtection="1">
      <alignment horizontal="center"/>
      <protection locked="0"/>
    </xf>
    <xf numFmtId="0" fontId="3" fillId="3" borderId="2" xfId="0" applyFont="1" applyFill="1" applyBorder="1" applyAlignment="1" applyProtection="1">
      <alignment horizontal="center" vertical="center"/>
      <protection locked="0"/>
    </xf>
    <xf numFmtId="0" fontId="0" fillId="5" borderId="24" xfId="0" applyFill="1" applyBorder="1" applyAlignment="1" applyProtection="1">
      <alignment horizontal="center" vertical="center"/>
    </xf>
    <xf numFmtId="3" fontId="0" fillId="3" borderId="7" xfId="0" applyNumberFormat="1" applyFill="1" applyBorder="1" applyAlignment="1" applyProtection="1">
      <alignment horizontal="center"/>
      <protection locked="0"/>
    </xf>
    <xf numFmtId="0" fontId="4" fillId="0" borderId="18" xfId="0" applyFont="1" applyBorder="1" applyAlignment="1" applyProtection="1">
      <alignment horizontal="center"/>
    </xf>
    <xf numFmtId="0" fontId="4" fillId="0" borderId="0" xfId="0" applyFont="1" applyBorder="1" applyAlignment="1" applyProtection="1">
      <alignment horizontal="center"/>
    </xf>
    <xf numFmtId="169" fontId="4" fillId="3" borderId="2" xfId="0" applyNumberFormat="1" applyFont="1" applyFill="1" applyBorder="1" applyAlignment="1" applyProtection="1">
      <alignment horizontal="center"/>
      <protection locked="0"/>
    </xf>
    <xf numFmtId="3" fontId="11" fillId="4" borderId="2" xfId="0" applyNumberFormat="1" applyFont="1" applyFill="1" applyBorder="1" applyAlignment="1" applyProtection="1">
      <alignment horizontal="center"/>
    </xf>
    <xf numFmtId="169" fontId="4" fillId="2" borderId="2" xfId="1" applyNumberFormat="1" applyFont="1" applyFill="1" applyBorder="1" applyAlignment="1" applyProtection="1">
      <alignment horizontal="center"/>
    </xf>
    <xf numFmtId="169" fontId="5" fillId="0" borderId="2" xfId="0" applyNumberFormat="1" applyFont="1" applyBorder="1" applyAlignment="1" applyProtection="1">
      <alignment horizontal="center"/>
    </xf>
    <xf numFmtId="169" fontId="4" fillId="3" borderId="2" xfId="1" applyNumberFormat="1" applyFont="1" applyFill="1" applyBorder="1" applyAlignment="1" applyProtection="1">
      <alignment horizontal="center"/>
      <protection locked="0"/>
    </xf>
    <xf numFmtId="0" fontId="4" fillId="4" borderId="2" xfId="0" applyFont="1" applyFill="1" applyBorder="1" applyAlignment="1" applyProtection="1">
      <alignment horizontal="center"/>
    </xf>
    <xf numFmtId="0" fontId="4" fillId="4" borderId="0" xfId="0" applyFont="1" applyFill="1" applyBorder="1" applyAlignment="1" applyProtection="1">
      <alignment horizontal="center"/>
    </xf>
    <xf numFmtId="169" fontId="5" fillId="2" borderId="12" xfId="1" applyNumberFormat="1" applyFont="1" applyFill="1" applyBorder="1" applyAlignment="1" applyProtection="1">
      <alignment horizontal="center"/>
    </xf>
    <xf numFmtId="169" fontId="5" fillId="3" borderId="2" xfId="1" applyNumberFormat="1" applyFont="1" applyFill="1" applyBorder="1" applyAlignment="1" applyProtection="1">
      <alignment horizontal="center"/>
      <protection locked="0"/>
    </xf>
    <xf numFmtId="9" fontId="5" fillId="3" borderId="2" xfId="3" applyFont="1" applyFill="1" applyBorder="1" applyAlignment="1" applyProtection="1">
      <alignment horizontal="center"/>
      <protection locked="0"/>
    </xf>
    <xf numFmtId="0" fontId="4" fillId="17" borderId="68" xfId="0" applyFont="1" applyFill="1" applyBorder="1" applyAlignment="1" applyProtection="1">
      <alignment horizontal="center"/>
    </xf>
    <xf numFmtId="0" fontId="4" fillId="17" borderId="67" xfId="0" applyFont="1" applyFill="1" applyBorder="1" applyAlignment="1" applyProtection="1">
      <alignment horizontal="center"/>
    </xf>
    <xf numFmtId="0" fontId="14" fillId="0" borderId="13" xfId="0" applyFont="1" applyBorder="1" applyAlignment="1" applyProtection="1">
      <alignment horizontal="center"/>
    </xf>
    <xf numFmtId="0" fontId="4" fillId="0" borderId="0" xfId="0" applyFont="1" applyAlignment="1" applyProtection="1">
      <alignment horizontal="center"/>
    </xf>
    <xf numFmtId="0" fontId="4" fillId="0" borderId="0" xfId="0" applyFont="1" applyFill="1" applyAlignment="1" applyProtection="1">
      <alignment horizontal="center"/>
    </xf>
    <xf numFmtId="0" fontId="4" fillId="0" borderId="16" xfId="0" applyFont="1" applyBorder="1" applyAlignment="1" applyProtection="1">
      <alignment horizontal="center"/>
    </xf>
    <xf numFmtId="37" fontId="5" fillId="3" borderId="7" xfId="1" applyNumberFormat="1" applyFont="1" applyFill="1" applyBorder="1" applyAlignment="1" applyProtection="1">
      <alignment horizontal="center"/>
      <protection locked="0"/>
    </xf>
    <xf numFmtId="169" fontId="22" fillId="0" borderId="9" xfId="1" applyNumberFormat="1" applyFont="1" applyBorder="1" applyAlignment="1" applyProtection="1">
      <alignment horizontal="center"/>
    </xf>
    <xf numFmtId="0" fontId="2" fillId="0" borderId="4" xfId="0" applyFont="1" applyBorder="1" applyAlignment="1" applyProtection="1">
      <alignment horizontal="left" vertical="center"/>
    </xf>
    <xf numFmtId="0" fontId="2" fillId="0" borderId="2" xfId="0" applyFont="1" applyFill="1" applyBorder="1" applyAlignment="1" applyProtection="1">
      <alignment horizontal="left"/>
    </xf>
    <xf numFmtId="3" fontId="0" fillId="5" borderId="2" xfId="0" applyNumberFormat="1" applyFill="1" applyBorder="1" applyAlignment="1" applyProtection="1">
      <alignment horizontal="center"/>
      <protection locked="0"/>
    </xf>
    <xf numFmtId="0" fontId="5" fillId="3" borderId="12" xfId="0" applyFont="1" applyFill="1" applyBorder="1" applyAlignment="1" applyProtection="1">
      <alignment horizontal="center" vertical="center"/>
      <protection locked="0"/>
    </xf>
    <xf numFmtId="0" fontId="4" fillId="0" borderId="0" xfId="0" applyFont="1" applyFill="1" applyBorder="1" applyProtection="1"/>
    <xf numFmtId="0" fontId="4" fillId="0" borderId="0" xfId="0" applyFont="1" applyFill="1" applyBorder="1" applyAlignment="1" applyProtection="1">
      <alignment vertical="center"/>
    </xf>
    <xf numFmtId="2" fontId="4" fillId="0" borderId="0" xfId="0" applyNumberFormat="1" applyFont="1" applyFill="1" applyBorder="1" applyAlignment="1" applyProtection="1">
      <alignment vertical="center"/>
    </xf>
    <xf numFmtId="172" fontId="4" fillId="0" borderId="22" xfId="0" applyNumberFormat="1" applyFont="1" applyBorder="1" applyProtection="1"/>
    <xf numFmtId="2" fontId="8" fillId="0" borderId="42" xfId="0" applyNumberFormat="1" applyFont="1" applyBorder="1" applyProtection="1"/>
    <xf numFmtId="2" fontId="39" fillId="19" borderId="2" xfId="0" applyNumberFormat="1" applyFont="1" applyFill="1" applyBorder="1" applyProtection="1"/>
    <xf numFmtId="0" fontId="37" fillId="19" borderId="2" xfId="0" quotePrefix="1" applyFont="1" applyFill="1" applyBorder="1" applyAlignment="1" applyProtection="1">
      <alignment horizontal="left"/>
    </xf>
    <xf numFmtId="0" fontId="39" fillId="19" borderId="2" xfId="0" applyFont="1" applyFill="1" applyBorder="1" applyProtection="1"/>
    <xf numFmtId="3" fontId="39" fillId="19" borderId="2" xfId="0" applyNumberFormat="1" applyFont="1" applyFill="1" applyBorder="1" applyProtection="1"/>
    <xf numFmtId="2" fontId="37" fillId="0" borderId="41" xfId="0" applyNumberFormat="1" applyFont="1" applyFill="1" applyBorder="1" applyAlignment="1" applyProtection="1">
      <alignment vertical="center"/>
    </xf>
    <xf numFmtId="0" fontId="37" fillId="19" borderId="2" xfId="0" applyFont="1" applyFill="1" applyBorder="1" applyAlignment="1" applyProtection="1">
      <alignment horizontal="left"/>
    </xf>
    <xf numFmtId="2" fontId="39" fillId="19" borderId="2" xfId="0" applyNumberFormat="1" applyFont="1" applyFill="1" applyBorder="1" applyAlignment="1" applyProtection="1">
      <alignment horizontal="right"/>
    </xf>
    <xf numFmtId="0" fontId="37" fillId="19" borderId="0" xfId="0" applyFont="1" applyFill="1" applyProtection="1"/>
    <xf numFmtId="2" fontId="37" fillId="0" borderId="0" xfId="0" quotePrefix="1" applyNumberFormat="1" applyFont="1" applyFill="1" applyBorder="1" applyProtection="1"/>
    <xf numFmtId="0" fontId="40" fillId="20" borderId="2" xfId="0" applyFont="1" applyFill="1" applyBorder="1" applyProtection="1"/>
    <xf numFmtId="3" fontId="40" fillId="20" borderId="2" xfId="0" applyNumberFormat="1" applyFont="1" applyFill="1" applyBorder="1" applyProtection="1"/>
    <xf numFmtId="2" fontId="40" fillId="20" borderId="2" xfId="0" applyNumberFormat="1" applyFont="1" applyFill="1" applyBorder="1" applyProtection="1"/>
    <xf numFmtId="2" fontId="40" fillId="20" borderId="2" xfId="0" applyNumberFormat="1" applyFont="1" applyFill="1" applyBorder="1" applyAlignment="1" applyProtection="1">
      <alignment horizontal="right"/>
    </xf>
    <xf numFmtId="0" fontId="37" fillId="20" borderId="2" xfId="0" quotePrefix="1" applyFont="1" applyFill="1" applyBorder="1" applyAlignment="1" applyProtection="1">
      <alignment horizontal="left"/>
    </xf>
    <xf numFmtId="2" fontId="37" fillId="0" borderId="41" xfId="0" applyNumberFormat="1" applyFont="1" applyBorder="1" applyProtection="1"/>
    <xf numFmtId="0" fontId="37" fillId="0" borderId="3" xfId="0" applyFont="1" applyFill="1" applyBorder="1" applyProtection="1"/>
    <xf numFmtId="0" fontId="39" fillId="20" borderId="2" xfId="0" applyFont="1" applyFill="1" applyBorder="1" applyProtection="1"/>
    <xf numFmtId="0" fontId="37" fillId="21" borderId="41" xfId="0" applyFont="1" applyFill="1" applyBorder="1" applyProtection="1"/>
    <xf numFmtId="2" fontId="37" fillId="21" borderId="41" xfId="0" applyNumberFormat="1" applyFont="1" applyFill="1" applyBorder="1" applyProtection="1"/>
    <xf numFmtId="0" fontId="37" fillId="21" borderId="41" xfId="0" applyFont="1" applyFill="1" applyBorder="1" applyAlignment="1" applyProtection="1">
      <alignment vertical="center"/>
    </xf>
    <xf numFmtId="0" fontId="37" fillId="21" borderId="49" xfId="0" applyFont="1" applyFill="1" applyBorder="1" applyAlignment="1" applyProtection="1">
      <alignment vertical="center"/>
    </xf>
    <xf numFmtId="0" fontId="37" fillId="21" borderId="48" xfId="0" applyFont="1" applyFill="1" applyBorder="1" applyAlignment="1" applyProtection="1">
      <alignment vertical="center"/>
    </xf>
    <xf numFmtId="0" fontId="37" fillId="21" borderId="6" xfId="0" applyFont="1" applyFill="1" applyBorder="1" applyAlignment="1" applyProtection="1">
      <alignment vertical="center"/>
    </xf>
    <xf numFmtId="0" fontId="43" fillId="21" borderId="41" xfId="0" applyFont="1" applyFill="1" applyBorder="1" applyAlignment="1" applyProtection="1">
      <alignment vertical="center"/>
    </xf>
    <xf numFmtId="0" fontId="35" fillId="0" borderId="2" xfId="0" quotePrefix="1" applyFont="1" applyBorder="1" applyAlignment="1" applyProtection="1">
      <alignment horizontal="left" vertical="center"/>
    </xf>
    <xf numFmtId="0" fontId="39" fillId="0" borderId="2" xfId="0" applyFont="1" applyFill="1" applyBorder="1" applyProtection="1"/>
    <xf numFmtId="171" fontId="13" fillId="0" borderId="0" xfId="2" applyNumberFormat="1" applyFont="1"/>
    <xf numFmtId="171" fontId="0" fillId="0" borderId="0" xfId="2" applyNumberFormat="1" applyFont="1"/>
    <xf numFmtId="171" fontId="0" fillId="0" borderId="98" xfId="2" applyNumberFormat="1" applyFont="1" applyBorder="1" applyAlignment="1">
      <alignment horizontal="right"/>
    </xf>
    <xf numFmtId="171" fontId="0" fillId="0" borderId="71" xfId="2" applyNumberFormat="1" applyFont="1" applyBorder="1" applyAlignment="1">
      <alignment horizontal="right"/>
    </xf>
    <xf numFmtId="171" fontId="13" fillId="0" borderId="0" xfId="2" applyNumberFormat="1" applyFont="1" applyBorder="1" applyProtection="1">
      <protection locked="0"/>
    </xf>
    <xf numFmtId="171" fontId="13" fillId="0" borderId="0" xfId="2" applyNumberFormat="1" applyFont="1" applyProtection="1">
      <protection locked="0"/>
    </xf>
    <xf numFmtId="171" fontId="13" fillId="0" borderId="0" xfId="2" applyNumberFormat="1" applyFont="1" applyBorder="1"/>
    <xf numFmtId="171" fontId="0" fillId="0" borderId="71" xfId="2" applyNumberFormat="1" applyFont="1" applyBorder="1"/>
    <xf numFmtId="0" fontId="3" fillId="0" borderId="0" xfId="0" applyFont="1" applyBorder="1" applyProtection="1">
      <protection locked="0"/>
    </xf>
    <xf numFmtId="0" fontId="1" fillId="0" borderId="0" xfId="0" applyFont="1"/>
    <xf numFmtId="175" fontId="15" fillId="0" borderId="1" xfId="0" applyNumberFormat="1" applyFont="1" applyBorder="1" applyAlignment="1" applyProtection="1">
      <alignment horizontal="center" vertical="center"/>
    </xf>
    <xf numFmtId="2" fontId="40" fillId="0" borderId="3" xfId="0" applyNumberFormat="1" applyFont="1" applyFill="1" applyBorder="1" applyProtection="1"/>
    <xf numFmtId="3" fontId="40" fillId="0" borderId="3" xfId="0" applyNumberFormat="1" applyFont="1" applyFill="1" applyBorder="1" applyAlignment="1" applyProtection="1">
      <alignment horizontal="right"/>
    </xf>
    <xf numFmtId="3" fontId="40" fillId="0" borderId="3" xfId="0" applyNumberFormat="1" applyFont="1" applyFill="1" applyBorder="1" applyProtection="1"/>
    <xf numFmtId="0" fontId="37" fillId="0" borderId="52" xfId="0" applyFont="1" applyFill="1" applyBorder="1" applyProtection="1"/>
    <xf numFmtId="2" fontId="40" fillId="0" borderId="52" xfId="0" applyNumberFormat="1" applyFont="1" applyFill="1" applyBorder="1" applyProtection="1"/>
    <xf numFmtId="3" fontId="40" fillId="0" borderId="52" xfId="0" applyNumberFormat="1" applyFont="1" applyFill="1" applyBorder="1" applyAlignment="1" applyProtection="1">
      <alignment horizontal="right"/>
    </xf>
    <xf numFmtId="3" fontId="40" fillId="0" borderId="52" xfId="0" applyNumberFormat="1" applyFont="1" applyFill="1" applyBorder="1" applyProtection="1"/>
    <xf numFmtId="3" fontId="40" fillId="0" borderId="12" xfId="0" applyNumberFormat="1" applyFont="1" applyFill="1" applyBorder="1" applyAlignment="1" applyProtection="1">
      <alignment horizontal="right"/>
    </xf>
    <xf numFmtId="3" fontId="40" fillId="0" borderId="2" xfId="0" applyNumberFormat="1" applyFont="1" applyFill="1" applyBorder="1" applyAlignment="1" applyProtection="1">
      <alignment horizontal="right"/>
    </xf>
    <xf numFmtId="3" fontId="40" fillId="0" borderId="2" xfId="0" applyNumberFormat="1" applyFont="1" applyFill="1" applyBorder="1" applyProtection="1"/>
    <xf numFmtId="0" fontId="39" fillId="0" borderId="3" xfId="0" applyFont="1" applyFill="1" applyBorder="1" applyProtection="1"/>
    <xf numFmtId="3" fontId="39" fillId="0" borderId="3" xfId="0" applyNumberFormat="1" applyFont="1" applyFill="1" applyBorder="1" applyAlignment="1" applyProtection="1">
      <alignment horizontal="right"/>
    </xf>
    <xf numFmtId="3" fontId="39" fillId="0" borderId="3" xfId="0" applyNumberFormat="1" applyFont="1" applyFill="1" applyBorder="1" applyProtection="1"/>
    <xf numFmtId="2" fontId="39" fillId="0" borderId="3" xfId="0" applyNumberFormat="1" applyFont="1" applyFill="1" applyBorder="1" applyProtection="1"/>
    <xf numFmtId="2" fontId="39" fillId="0" borderId="2" xfId="0" applyNumberFormat="1" applyFont="1" applyFill="1" applyBorder="1" applyProtection="1"/>
    <xf numFmtId="1" fontId="39" fillId="0" borderId="3" xfId="0" applyNumberFormat="1" applyFont="1" applyFill="1" applyBorder="1" applyProtection="1"/>
    <xf numFmtId="2" fontId="39" fillId="0" borderId="3" xfId="0" applyNumberFormat="1" applyFont="1" applyFill="1" applyBorder="1" applyAlignment="1" applyProtection="1">
      <alignment horizontal="right"/>
    </xf>
    <xf numFmtId="3" fontId="39" fillId="0" borderId="2" xfId="0" applyNumberFormat="1" applyFont="1" applyFill="1" applyBorder="1" applyProtection="1"/>
    <xf numFmtId="2" fontId="39" fillId="0" borderId="2" xfId="0" applyNumberFormat="1" applyFont="1" applyFill="1" applyBorder="1" applyAlignment="1" applyProtection="1">
      <alignment vertical="center"/>
    </xf>
    <xf numFmtId="4" fontId="40" fillId="2" borderId="2" xfId="0" applyNumberFormat="1" applyFont="1" applyFill="1" applyBorder="1" applyAlignment="1" applyProtection="1">
      <alignment vertical="center"/>
    </xf>
    <xf numFmtId="0" fontId="34" fillId="0" borderId="2" xfId="0" applyFont="1" applyFill="1" applyBorder="1" applyProtection="1"/>
    <xf numFmtId="0" fontId="37" fillId="0" borderId="2" xfId="0" quotePrefix="1" applyFont="1" applyFill="1" applyBorder="1" applyAlignment="1" applyProtection="1">
      <alignment horizontal="left"/>
    </xf>
    <xf numFmtId="2" fontId="39" fillId="0" borderId="2" xfId="0" applyNumberFormat="1" applyFont="1" applyFill="1" applyBorder="1" applyAlignment="1" applyProtection="1">
      <alignment horizontal="right"/>
    </xf>
    <xf numFmtId="0" fontId="37" fillId="0" borderId="3" xfId="0" quotePrefix="1" applyFont="1" applyFill="1" applyBorder="1" applyAlignment="1" applyProtection="1">
      <alignment horizontal="left"/>
    </xf>
    <xf numFmtId="0" fontId="39" fillId="0" borderId="52" xfId="0" applyFont="1" applyFill="1" applyBorder="1" applyProtection="1"/>
    <xf numFmtId="3" fontId="39" fillId="0" borderId="52" xfId="0" applyNumberFormat="1" applyFont="1" applyFill="1" applyBorder="1" applyProtection="1"/>
    <xf numFmtId="2" fontId="39" fillId="0" borderId="52" xfId="0" applyNumberFormat="1" applyFont="1" applyFill="1" applyBorder="1" applyProtection="1"/>
    <xf numFmtId="0" fontId="38" fillId="0" borderId="51" xfId="0" applyFont="1" applyFill="1" applyBorder="1" applyProtection="1"/>
    <xf numFmtId="0" fontId="35" fillId="0" borderId="52" xfId="0" applyFont="1" applyFill="1" applyBorder="1" applyProtection="1"/>
    <xf numFmtId="0" fontId="36" fillId="0" borderId="52" xfId="0" applyFont="1" applyFill="1" applyBorder="1" applyAlignment="1" applyProtection="1">
      <alignment horizontal="left" vertical="center"/>
    </xf>
    <xf numFmtId="165" fontId="39" fillId="0" borderId="2" xfId="0" applyNumberFormat="1" applyFont="1" applyFill="1" applyBorder="1" applyProtection="1"/>
    <xf numFmtId="2" fontId="30" fillId="0" borderId="0" xfId="0" applyNumberFormat="1" applyFont="1" applyFill="1" applyProtection="1"/>
    <xf numFmtId="2" fontId="31" fillId="0" borderId="0" xfId="0" applyNumberFormat="1" applyFont="1" applyFill="1" applyAlignment="1" applyProtection="1">
      <alignment vertical="center"/>
    </xf>
    <xf numFmtId="2" fontId="5" fillId="0" borderId="0" xfId="0" applyNumberFormat="1" applyFont="1" applyFill="1" applyAlignment="1" applyProtection="1">
      <alignment horizontal="right" vertical="center"/>
    </xf>
    <xf numFmtId="2" fontId="30" fillId="0" borderId="0" xfId="0" applyNumberFormat="1" applyFont="1" applyFill="1" applyAlignment="1" applyProtection="1">
      <alignment vertical="center"/>
    </xf>
    <xf numFmtId="0" fontId="30" fillId="0" borderId="0" xfId="0" applyFont="1" applyFill="1" applyAlignment="1" applyProtection="1">
      <alignment vertical="center"/>
    </xf>
    <xf numFmtId="2" fontId="40" fillId="0" borderId="0" xfId="0" applyNumberFormat="1" applyFont="1" applyFill="1" applyProtection="1"/>
    <xf numFmtId="1" fontId="40" fillId="0" borderId="0" xfId="0" applyNumberFormat="1" applyFont="1" applyFill="1" applyAlignment="1" applyProtection="1">
      <alignment horizontal="center"/>
    </xf>
    <xf numFmtId="2" fontId="56" fillId="0" borderId="0" xfId="0" applyNumberFormat="1" applyFont="1" applyFill="1" applyAlignment="1" applyProtection="1">
      <alignment horizontal="right"/>
    </xf>
    <xf numFmtId="0" fontId="40" fillId="0" borderId="0" xfId="0" applyFont="1" applyFill="1" applyProtection="1"/>
    <xf numFmtId="2" fontId="56" fillId="0" borderId="0" xfId="0" applyNumberFormat="1" applyFont="1" applyFill="1" applyProtection="1"/>
    <xf numFmtId="0" fontId="56" fillId="0" borderId="0" xfId="0" applyFont="1" applyAlignment="1" applyProtection="1">
      <alignment horizontal="right" vertical="center"/>
    </xf>
    <xf numFmtId="4" fontId="38" fillId="0" borderId="0" xfId="0" applyNumberFormat="1" applyFont="1" applyFill="1" applyAlignment="1" applyProtection="1">
      <alignment vertical="center"/>
    </xf>
    <xf numFmtId="2" fontId="38" fillId="0" borderId="0" xfId="0" applyNumberFormat="1" applyFont="1" applyFill="1" applyAlignment="1" applyProtection="1">
      <alignment vertical="center"/>
    </xf>
    <xf numFmtId="0" fontId="40" fillId="0" borderId="0" xfId="0" quotePrefix="1" applyFont="1" applyFill="1" applyAlignment="1" applyProtection="1">
      <alignment horizontal="left" vertical="center"/>
    </xf>
    <xf numFmtId="0" fontId="40" fillId="0" borderId="0" xfId="0" applyFont="1" applyAlignment="1" applyProtection="1">
      <alignment vertical="center"/>
    </xf>
    <xf numFmtId="2" fontId="56" fillId="0" borderId="0" xfId="0" applyNumberFormat="1" applyFont="1" applyFill="1" applyAlignment="1" applyProtection="1">
      <alignment horizontal="right" vertical="center"/>
    </xf>
    <xf numFmtId="2" fontId="40" fillId="0" borderId="0" xfId="0" applyNumberFormat="1" applyFont="1" applyFill="1" applyAlignment="1" applyProtection="1">
      <alignment vertical="center"/>
    </xf>
    <xf numFmtId="2" fontId="38" fillId="0" borderId="0" xfId="0" applyNumberFormat="1" applyFont="1" applyFill="1" applyProtection="1"/>
    <xf numFmtId="171" fontId="37" fillId="0" borderId="0" xfId="2" applyNumberFormat="1" applyFont="1" applyProtection="1"/>
    <xf numFmtId="0" fontId="40" fillId="0" borderId="0" xfId="0" quotePrefix="1" applyFont="1" applyFill="1" applyAlignment="1" applyProtection="1">
      <alignment vertical="center"/>
    </xf>
    <xf numFmtId="2" fontId="40" fillId="0" borderId="0" xfId="0" applyNumberFormat="1" applyFont="1" applyFill="1" applyAlignment="1" applyProtection="1">
      <alignment horizontal="center" vertical="center"/>
    </xf>
    <xf numFmtId="0" fontId="58" fillId="0" borderId="28" xfId="0" applyFont="1" applyBorder="1" applyProtection="1"/>
    <xf numFmtId="0" fontId="58" fillId="0" borderId="0" xfId="0" applyFont="1" applyBorder="1" applyProtection="1"/>
    <xf numFmtId="0" fontId="59" fillId="0" borderId="0" xfId="0" applyFont="1" applyBorder="1" applyProtection="1"/>
    <xf numFmtId="2" fontId="37" fillId="0" borderId="0" xfId="0" applyNumberFormat="1" applyFont="1" applyFill="1" applyAlignment="1" applyProtection="1">
      <alignment vertical="center"/>
    </xf>
    <xf numFmtId="0" fontId="37" fillId="0" borderId="0" xfId="0" applyFont="1" applyAlignment="1" applyProtection="1">
      <alignment horizontal="right" vertical="center"/>
    </xf>
    <xf numFmtId="1" fontId="37" fillId="0" borderId="0" xfId="0" applyNumberFormat="1" applyFont="1" applyFill="1" applyProtection="1"/>
    <xf numFmtId="0" fontId="50" fillId="0" borderId="0" xfId="0" applyFont="1" applyAlignment="1" applyProtection="1">
      <alignment horizontal="right"/>
    </xf>
    <xf numFmtId="0" fontId="40" fillId="0" borderId="0" xfId="0" quotePrefix="1" applyFont="1" applyBorder="1" applyAlignment="1" applyProtection="1">
      <alignment horizontal="left"/>
    </xf>
    <xf numFmtId="0" fontId="60" fillId="0" borderId="0" xfId="0" applyFont="1" applyProtection="1"/>
    <xf numFmtId="0" fontId="53" fillId="0" borderId="0" xfId="0" applyFont="1" applyFill="1" applyProtection="1"/>
    <xf numFmtId="6" fontId="53" fillId="0" borderId="0" xfId="2" applyNumberFormat="1" applyFont="1" applyFill="1" applyProtection="1"/>
    <xf numFmtId="0" fontId="61" fillId="0" borderId="0" xfId="0" applyFont="1" applyFill="1" applyProtection="1"/>
    <xf numFmtId="4" fontId="37" fillId="0" borderId="0" xfId="0" applyNumberFormat="1" applyFont="1" applyAlignment="1" applyProtection="1">
      <alignment horizontal="left"/>
    </xf>
    <xf numFmtId="0" fontId="37" fillId="0" borderId="10" xfId="0" applyFont="1" applyBorder="1" applyAlignment="1" applyProtection="1">
      <alignment vertical="center"/>
    </xf>
    <xf numFmtId="0" fontId="37" fillId="0" borderId="10" xfId="0" applyFont="1" applyBorder="1" applyProtection="1"/>
    <xf numFmtId="0" fontId="0" fillId="0" borderId="0" xfId="0" quotePrefix="1" applyNumberFormat="1" applyProtection="1"/>
    <xf numFmtId="0" fontId="37" fillId="0" borderId="17" xfId="0" applyFont="1" applyBorder="1" applyAlignment="1" applyProtection="1">
      <alignment vertical="center"/>
    </xf>
    <xf numFmtId="0" fontId="37" fillId="0" borderId="23" xfId="0" applyFont="1" applyBorder="1" applyProtection="1"/>
    <xf numFmtId="0" fontId="37" fillId="0" borderId="10" xfId="0" applyFont="1" applyFill="1" applyBorder="1" applyProtection="1"/>
    <xf numFmtId="0" fontId="37" fillId="0" borderId="10" xfId="0" applyFont="1" applyFill="1" applyBorder="1" applyAlignment="1" applyProtection="1">
      <alignment vertical="center"/>
    </xf>
    <xf numFmtId="0" fontId="34" fillId="0" borderId="4" xfId="0" applyFont="1" applyFill="1" applyBorder="1" applyProtection="1"/>
    <xf numFmtId="0" fontId="37" fillId="21" borderId="62" xfId="0" applyFont="1" applyFill="1" applyBorder="1" applyProtection="1"/>
    <xf numFmtId="2" fontId="39" fillId="0" borderId="3" xfId="0" applyNumberFormat="1" applyFont="1" applyFill="1" applyBorder="1" applyAlignment="1" applyProtection="1">
      <alignment vertical="center"/>
    </xf>
    <xf numFmtId="0" fontId="37" fillId="0" borderId="54" xfId="0" quotePrefix="1" applyFont="1" applyBorder="1" applyAlignment="1" applyProtection="1">
      <alignment horizontal="left"/>
    </xf>
    <xf numFmtId="0" fontId="40" fillId="4" borderId="54" xfId="0" applyFont="1" applyFill="1" applyBorder="1" applyAlignment="1" applyProtection="1">
      <alignment vertical="center"/>
    </xf>
    <xf numFmtId="3" fontId="40" fillId="4" borderId="54" xfId="0" applyNumberFormat="1" applyFont="1" applyFill="1" applyBorder="1" applyAlignment="1" applyProtection="1">
      <alignment horizontal="left" vertical="center"/>
    </xf>
    <xf numFmtId="3" fontId="40" fillId="4" borderId="54" xfId="0" applyNumberFormat="1" applyFont="1" applyFill="1" applyBorder="1" applyAlignment="1" applyProtection="1">
      <alignment vertical="center"/>
    </xf>
    <xf numFmtId="0" fontId="40" fillId="4" borderId="54" xfId="0" applyFont="1" applyFill="1" applyBorder="1" applyAlignment="1" applyProtection="1">
      <alignment horizontal="left" vertical="center"/>
    </xf>
    <xf numFmtId="2" fontId="40" fillId="13" borderId="54" xfId="0" applyNumberFormat="1" applyFont="1" applyFill="1" applyBorder="1" applyAlignment="1" applyProtection="1">
      <alignment horizontal="right" vertical="center"/>
    </xf>
    <xf numFmtId="0" fontId="37" fillId="0" borderId="89" xfId="0" quotePrefix="1" applyFont="1" applyFill="1" applyBorder="1" applyAlignment="1" applyProtection="1">
      <alignment horizontal="left"/>
    </xf>
    <xf numFmtId="0" fontId="39" fillId="0" borderId="109" xfId="0" applyFont="1" applyFill="1" applyBorder="1" applyProtection="1"/>
    <xf numFmtId="3" fontId="39" fillId="0" borderId="109" xfId="0" applyNumberFormat="1" applyFont="1" applyFill="1" applyBorder="1" applyProtection="1"/>
    <xf numFmtId="2" fontId="39" fillId="0" borderId="109" xfId="0" applyNumberFormat="1" applyFont="1" applyFill="1" applyBorder="1" applyProtection="1"/>
    <xf numFmtId="2" fontId="40" fillId="0" borderId="107" xfId="0" applyNumberFormat="1" applyFont="1" applyFill="1" applyBorder="1" applyAlignment="1" applyProtection="1">
      <alignment vertical="center"/>
    </xf>
    <xf numFmtId="0" fontId="37" fillId="0" borderId="51" xfId="0" quotePrefix="1" applyFont="1" applyFill="1" applyBorder="1" applyAlignment="1" applyProtection="1">
      <alignment horizontal="left"/>
    </xf>
    <xf numFmtId="2" fontId="40" fillId="0" borderId="69" xfId="0" applyNumberFormat="1" applyFont="1" applyFill="1" applyBorder="1" applyAlignment="1" applyProtection="1">
      <alignment vertical="center"/>
    </xf>
    <xf numFmtId="0" fontId="37" fillId="0" borderId="57" xfId="0" quotePrefix="1" applyFont="1" applyFill="1" applyBorder="1" applyAlignment="1" applyProtection="1">
      <alignment horizontal="left"/>
    </xf>
    <xf numFmtId="2" fontId="39" fillId="0" borderId="54" xfId="0" applyNumberFormat="1" applyFont="1" applyFill="1" applyBorder="1" applyProtection="1"/>
    <xf numFmtId="3" fontId="39" fillId="0" borderId="54" xfId="0" applyNumberFormat="1" applyFont="1" applyFill="1" applyBorder="1" applyProtection="1"/>
    <xf numFmtId="2" fontId="39" fillId="0" borderId="100" xfId="0" applyNumberFormat="1" applyFont="1" applyFill="1" applyBorder="1" applyAlignment="1" applyProtection="1">
      <alignment vertical="center"/>
    </xf>
    <xf numFmtId="0" fontId="4" fillId="0" borderId="20" xfId="0" applyFont="1" applyBorder="1" applyProtection="1"/>
    <xf numFmtId="0" fontId="5" fillId="0" borderId="0" xfId="0" applyFont="1" applyProtection="1"/>
    <xf numFmtId="0" fontId="4" fillId="0" borderId="22" xfId="0" applyFont="1" applyBorder="1" applyAlignment="1" applyProtection="1">
      <alignment vertical="center"/>
    </xf>
    <xf numFmtId="0" fontId="4" fillId="0" borderId="40" xfId="0" applyFont="1" applyBorder="1" applyAlignment="1" applyProtection="1">
      <alignment vertical="center"/>
    </xf>
    <xf numFmtId="0" fontId="4" fillId="0" borderId="20" xfId="0" applyFont="1" applyBorder="1" applyAlignment="1" applyProtection="1">
      <alignment vertical="center"/>
    </xf>
    <xf numFmtId="0" fontId="4" fillId="0" borderId="10" xfId="0" applyFont="1" applyBorder="1" applyAlignment="1" applyProtection="1">
      <alignment horizontal="center"/>
    </xf>
    <xf numFmtId="0" fontId="4" fillId="0" borderId="22" xfId="0" applyFont="1" applyBorder="1" applyAlignment="1" applyProtection="1">
      <alignment horizontal="center"/>
    </xf>
    <xf numFmtId="0" fontId="0" fillId="0" borderId="0" xfId="0" applyFill="1" applyBorder="1" applyAlignment="1" applyProtection="1">
      <alignment vertical="top" wrapText="1"/>
    </xf>
    <xf numFmtId="0" fontId="4" fillId="0" borderId="40" xfId="0" applyFont="1" applyBorder="1" applyProtection="1"/>
    <xf numFmtId="0" fontId="0" fillId="0" borderId="22" xfId="0" applyBorder="1" applyAlignment="1" applyProtection="1"/>
    <xf numFmtId="0" fontId="0" fillId="0" borderId="0" xfId="0" applyFill="1" applyBorder="1" applyAlignment="1" applyProtection="1"/>
    <xf numFmtId="0" fontId="4" fillId="0" borderId="0" xfId="0" applyFont="1" applyAlignment="1" applyProtection="1">
      <alignment horizontal="right"/>
    </xf>
    <xf numFmtId="0" fontId="0" fillId="0" borderId="108" xfId="0" applyBorder="1" applyAlignment="1" applyProtection="1">
      <alignment vertical="top" wrapText="1"/>
    </xf>
    <xf numFmtId="0" fontId="4" fillId="0" borderId="3" xfId="0" applyFont="1" applyFill="1" applyBorder="1" applyProtection="1"/>
    <xf numFmtId="0" fontId="4" fillId="0" borderId="21" xfId="0" applyFont="1" applyBorder="1" applyProtection="1"/>
    <xf numFmtId="0" fontId="5" fillId="0" borderId="10" xfId="0" applyFont="1" applyBorder="1" applyProtection="1"/>
    <xf numFmtId="0" fontId="5" fillId="0" borderId="22" xfId="0" applyFont="1" applyBorder="1" applyProtection="1"/>
    <xf numFmtId="0" fontId="0" fillId="0" borderId="61" xfId="0" applyBorder="1" applyAlignment="1" applyProtection="1"/>
    <xf numFmtId="0" fontId="0" fillId="0" borderId="49" xfId="0" applyBorder="1" applyAlignment="1" applyProtection="1"/>
    <xf numFmtId="0" fontId="0" fillId="17" borderId="104" xfId="0" applyFill="1" applyBorder="1" applyAlignment="1" applyProtection="1"/>
    <xf numFmtId="0" fontId="0" fillId="17" borderId="73" xfId="0" applyFill="1" applyBorder="1" applyAlignment="1" applyProtection="1"/>
    <xf numFmtId="0" fontId="0" fillId="0" borderId="48" xfId="0" applyBorder="1" applyAlignment="1" applyProtection="1"/>
    <xf numFmtId="0" fontId="5" fillId="0" borderId="40" xfId="0" applyFont="1" applyBorder="1" applyProtection="1"/>
    <xf numFmtId="175" fontId="15" fillId="0" borderId="1" xfId="0" applyNumberFormat="1" applyFont="1" applyFill="1" applyBorder="1" applyAlignment="1" applyProtection="1">
      <alignment horizontal="center" vertical="center"/>
    </xf>
    <xf numFmtId="0" fontId="2" fillId="0" borderId="2" xfId="0" applyFont="1" applyFill="1" applyBorder="1" applyAlignment="1" applyProtection="1">
      <alignment horizontal="left" vertical="center"/>
    </xf>
    <xf numFmtId="175" fontId="20" fillId="0" borderId="50" xfId="0" applyNumberFormat="1" applyFont="1" applyBorder="1" applyAlignment="1" applyProtection="1">
      <alignment horizontal="center"/>
    </xf>
    <xf numFmtId="0" fontId="29" fillId="0" borderId="3" xfId="0" applyFont="1" applyBorder="1" applyProtection="1"/>
    <xf numFmtId="3" fontId="22" fillId="3" borderId="46" xfId="0" applyNumberFormat="1" applyFont="1" applyFill="1" applyBorder="1" applyAlignment="1" applyProtection="1">
      <alignment horizontal="center"/>
      <protection locked="0"/>
    </xf>
    <xf numFmtId="175" fontId="20" fillId="2" borderId="11" xfId="0" applyNumberFormat="1" applyFont="1" applyFill="1" applyBorder="1" applyAlignment="1" applyProtection="1">
      <alignment horizontal="center"/>
    </xf>
    <xf numFmtId="0" fontId="24" fillId="2" borderId="12" xfId="0" applyFont="1" applyFill="1" applyBorder="1" applyAlignment="1" applyProtection="1">
      <alignment horizontal="left"/>
    </xf>
    <xf numFmtId="3" fontId="0" fillId="4" borderId="39" xfId="0" applyNumberFormat="1" applyFill="1" applyBorder="1" applyAlignment="1" applyProtection="1">
      <alignment horizontal="center"/>
    </xf>
    <xf numFmtId="9" fontId="0" fillId="0" borderId="21" xfId="0" applyNumberFormat="1" applyFill="1" applyBorder="1" applyAlignment="1" applyProtection="1">
      <alignment horizontal="center" vertical="top" wrapText="1"/>
      <protection locked="0"/>
    </xf>
    <xf numFmtId="175" fontId="20" fillId="4" borderId="13" xfId="0" applyNumberFormat="1" applyFont="1" applyFill="1" applyBorder="1" applyAlignment="1" applyProtection="1">
      <alignment horizontal="center"/>
    </xf>
    <xf numFmtId="0" fontId="0" fillId="4" borderId="15" xfId="0" applyFill="1" applyBorder="1" applyAlignment="1" applyProtection="1">
      <alignment horizontal="left"/>
    </xf>
    <xf numFmtId="3" fontId="0" fillId="4" borderId="110" xfId="0" applyNumberFormat="1" applyFill="1" applyBorder="1" applyAlignment="1" applyProtection="1">
      <alignment horizontal="center"/>
    </xf>
    <xf numFmtId="9" fontId="0" fillId="4" borderId="15" xfId="0" applyNumberFormat="1" applyFill="1" applyBorder="1" applyAlignment="1" applyProtection="1">
      <alignment horizontal="center"/>
    </xf>
    <xf numFmtId="0" fontId="0" fillId="4" borderId="14" xfId="0" applyFill="1" applyBorder="1" applyAlignment="1" applyProtection="1">
      <alignment horizontal="center"/>
    </xf>
    <xf numFmtId="0" fontId="24" fillId="0" borderId="12" xfId="0" applyFont="1" applyBorder="1" applyProtection="1"/>
    <xf numFmtId="0" fontId="4" fillId="0" borderId="2" xfId="0" applyFont="1" applyBorder="1" applyAlignment="1" applyProtection="1">
      <alignment vertical="center"/>
      <protection locked="0"/>
    </xf>
    <xf numFmtId="0" fontId="4" fillId="0" borderId="39" xfId="0" quotePrefix="1" applyFont="1" applyBorder="1" applyAlignment="1" applyProtection="1">
      <alignment horizontal="left" vertical="center"/>
      <protection locked="0"/>
    </xf>
    <xf numFmtId="0" fontId="8" fillId="0" borderId="105" xfId="0" applyFont="1" applyFill="1" applyBorder="1" applyAlignment="1" applyProtection="1">
      <alignment horizontal="center"/>
      <protection locked="0"/>
    </xf>
    <xf numFmtId="2" fontId="8" fillId="0" borderId="106" xfId="0" applyNumberFormat="1" applyFont="1" applyFill="1" applyBorder="1" applyAlignment="1" applyProtection="1">
      <alignment horizontal="center"/>
      <protection locked="0"/>
    </xf>
    <xf numFmtId="2" fontId="0" fillId="0" borderId="94" xfId="0" applyNumberFormat="1" applyBorder="1" applyAlignment="1">
      <alignment horizontal="right"/>
    </xf>
    <xf numFmtId="2" fontId="0" fillId="0" borderId="98" xfId="0" applyNumberFormat="1" applyBorder="1" applyAlignment="1">
      <alignment horizontal="right"/>
    </xf>
    <xf numFmtId="177" fontId="4" fillId="0" borderId="2" xfId="0" applyNumberFormat="1" applyFont="1" applyFill="1" applyBorder="1" applyAlignment="1" applyProtection="1">
      <alignment horizontal="center"/>
    </xf>
    <xf numFmtId="0" fontId="5" fillId="0" borderId="7" xfId="0" applyFont="1" applyFill="1" applyBorder="1" applyAlignment="1" applyProtection="1">
      <alignment horizontal="center"/>
      <protection locked="0"/>
    </xf>
    <xf numFmtId="0" fontId="5" fillId="0" borderId="17" xfId="0" applyFont="1" applyBorder="1" applyAlignment="1" applyProtection="1">
      <alignment horizontal="center" vertical="center"/>
    </xf>
    <xf numFmtId="0" fontId="5" fillId="0" borderId="20" xfId="0" applyFont="1" applyBorder="1" applyProtection="1"/>
    <xf numFmtId="0" fontId="5" fillId="0" borderId="23" xfId="0" applyFont="1" applyBorder="1" applyAlignment="1" applyProtection="1">
      <alignment horizontal="center" vertical="center"/>
    </xf>
    <xf numFmtId="169" fontId="4" fillId="2" borderId="12" xfId="1" applyNumberFormat="1" applyFont="1" applyFill="1" applyBorder="1" applyAlignment="1" applyProtection="1">
      <alignment horizontal="center"/>
    </xf>
    <xf numFmtId="169" fontId="4" fillId="0" borderId="42" xfId="0" applyNumberFormat="1" applyFont="1" applyFill="1" applyBorder="1" applyAlignment="1" applyProtection="1">
      <alignment horizontal="center"/>
      <protection locked="0"/>
    </xf>
    <xf numFmtId="2" fontId="13" fillId="0" borderId="2" xfId="0" applyNumberFormat="1" applyFont="1" applyBorder="1" applyProtection="1"/>
    <xf numFmtId="4" fontId="13" fillId="0" borderId="0" xfId="0" applyNumberFormat="1" applyFont="1"/>
    <xf numFmtId="4" fontId="0" fillId="0" borderId="71" xfId="0" applyNumberFormat="1" applyBorder="1" applyAlignment="1">
      <alignment horizontal="right"/>
    </xf>
    <xf numFmtId="4" fontId="13" fillId="0" borderId="0" xfId="0" applyNumberFormat="1" applyFont="1" applyBorder="1"/>
    <xf numFmtId="4" fontId="13" fillId="0" borderId="0" xfId="0" applyNumberFormat="1" applyFont="1" applyBorder="1" applyProtection="1">
      <protection locked="0"/>
    </xf>
    <xf numFmtId="3" fontId="39" fillId="3" borderId="2" xfId="0" applyNumberFormat="1" applyFont="1" applyFill="1" applyBorder="1" applyProtection="1">
      <protection locked="0"/>
    </xf>
    <xf numFmtId="168" fontId="5" fillId="6" borderId="2" xfId="0" applyNumberFormat="1" applyFont="1" applyFill="1" applyBorder="1" applyAlignment="1" applyProtection="1">
      <alignment horizontal="right"/>
      <protection locked="0"/>
    </xf>
    <xf numFmtId="168" fontId="4" fillId="2" borderId="2" xfId="1" applyNumberFormat="1" applyFont="1" applyFill="1" applyBorder="1" applyAlignment="1" applyProtection="1">
      <alignment horizontal="center"/>
    </xf>
    <xf numFmtId="172" fontId="15" fillId="0" borderId="0" xfId="0" applyNumberFormat="1" applyFont="1"/>
    <xf numFmtId="0" fontId="31" fillId="0" borderId="18" xfId="0" applyFont="1" applyBorder="1"/>
    <xf numFmtId="0" fontId="30" fillId="0" borderId="18" xfId="0" applyFont="1" applyBorder="1"/>
    <xf numFmtId="0" fontId="15" fillId="0" borderId="18" xfId="0" applyFont="1" applyBorder="1"/>
    <xf numFmtId="14" fontId="15" fillId="0" borderId="18" xfId="0" applyNumberFormat="1" applyFont="1" applyBorder="1"/>
    <xf numFmtId="0" fontId="30" fillId="0" borderId="20" xfId="0" applyFont="1" applyBorder="1"/>
    <xf numFmtId="0" fontId="30" fillId="0" borderId="10" xfId="0" applyFont="1" applyBorder="1"/>
    <xf numFmtId="0" fontId="30" fillId="0" borderId="0" xfId="0" applyFont="1"/>
    <xf numFmtId="0" fontId="31" fillId="0" borderId="0" xfId="0" applyFont="1"/>
    <xf numFmtId="0" fontId="30" fillId="0" borderId="10" xfId="0" applyFont="1" applyBorder="1" applyAlignment="1">
      <alignment horizontal="left"/>
    </xf>
    <xf numFmtId="0" fontId="30" fillId="0" borderId="0" xfId="0" applyFont="1" applyAlignment="1">
      <alignment horizontal="left"/>
    </xf>
    <xf numFmtId="3" fontId="30" fillId="0" borderId="0" xfId="0" applyNumberFormat="1" applyFont="1" applyAlignment="1">
      <alignment horizontal="left"/>
    </xf>
    <xf numFmtId="3" fontId="30" fillId="0" borderId="0" xfId="0" applyNumberFormat="1" applyFont="1"/>
    <xf numFmtId="0" fontId="15" fillId="0" borderId="0" xfId="0" applyFont="1"/>
    <xf numFmtId="0" fontId="30" fillId="0" borderId="22" xfId="0" applyFont="1" applyBorder="1"/>
    <xf numFmtId="49" fontId="31" fillId="0" borderId="10" xfId="0" applyNumberFormat="1" applyFont="1" applyBorder="1" applyAlignment="1">
      <alignment horizontal="left" vertical="center"/>
    </xf>
    <xf numFmtId="0" fontId="30" fillId="0" borderId="0" xfId="0" applyFont="1" applyAlignment="1">
      <alignment vertical="center"/>
    </xf>
    <xf numFmtId="0" fontId="31" fillId="0" borderId="0" xfId="0" applyFont="1" applyAlignment="1">
      <alignment vertical="center"/>
    </xf>
    <xf numFmtId="3" fontId="30" fillId="0" borderId="0" xfId="0" applyNumberFormat="1" applyFont="1" applyAlignment="1">
      <alignment vertical="center"/>
    </xf>
    <xf numFmtId="0" fontId="30" fillId="0" borderId="22" xfId="0" applyFont="1" applyBorder="1" applyAlignment="1">
      <alignment vertical="center"/>
    </xf>
    <xf numFmtId="0" fontId="37" fillId="0" borderId="10" xfId="0" applyFont="1" applyBorder="1"/>
    <xf numFmtId="0" fontId="39" fillId="0" borderId="0" xfId="0" applyFont="1"/>
    <xf numFmtId="0" fontId="37" fillId="0" borderId="10" xfId="0" applyFont="1" applyBorder="1" applyAlignment="1">
      <alignment horizontal="left"/>
    </xf>
    <xf numFmtId="0" fontId="37" fillId="0" borderId="0" xfId="0" applyFont="1" applyAlignment="1">
      <alignment horizontal="left"/>
    </xf>
    <xf numFmtId="3" fontId="37" fillId="0" borderId="0" xfId="0" applyNumberFormat="1" applyFont="1" applyAlignment="1">
      <alignment horizontal="left"/>
    </xf>
    <xf numFmtId="3" fontId="37" fillId="0" borderId="0" xfId="0" applyNumberFormat="1" applyFont="1"/>
    <xf numFmtId="3" fontId="30" fillId="0" borderId="0" xfId="0" quotePrefix="1" applyNumberFormat="1" applyFont="1" applyAlignment="1">
      <alignment vertical="center"/>
    </xf>
    <xf numFmtId="0" fontId="37" fillId="0" borderId="22" xfId="0" applyFont="1" applyBorder="1"/>
    <xf numFmtId="0" fontId="37" fillId="0" borderId="5" xfId="0" applyFont="1" applyBorder="1"/>
    <xf numFmtId="0" fontId="39" fillId="0" borderId="7" xfId="0" applyFont="1" applyBorder="1"/>
    <xf numFmtId="0" fontId="37" fillId="0" borderId="35" xfId="0" applyFont="1" applyBorder="1"/>
    <xf numFmtId="0" fontId="39" fillId="0" borderId="5" xfId="0" applyFont="1" applyBorder="1" applyAlignment="1">
      <alignment horizontal="left"/>
    </xf>
    <xf numFmtId="0" fontId="39" fillId="0" borderId="7" xfId="0" applyFont="1" applyBorder="1" applyAlignment="1">
      <alignment horizontal="left"/>
    </xf>
    <xf numFmtId="3" fontId="39" fillId="0" borderId="7" xfId="0" applyNumberFormat="1" applyFont="1" applyBorder="1" applyAlignment="1">
      <alignment horizontal="left"/>
    </xf>
    <xf numFmtId="3" fontId="39" fillId="0" borderId="7" xfId="0" applyNumberFormat="1" applyFont="1" applyBorder="1"/>
    <xf numFmtId="0" fontId="37" fillId="0" borderId="6" xfId="0" applyFont="1" applyBorder="1"/>
    <xf numFmtId="0" fontId="41" fillId="0" borderId="1" xfId="0" applyFont="1" applyBorder="1" applyAlignment="1">
      <alignment vertical="center"/>
    </xf>
    <xf numFmtId="0" fontId="42" fillId="0" borderId="2" xfId="0" applyFont="1" applyBorder="1" applyAlignment="1">
      <alignment vertical="center"/>
    </xf>
    <xf numFmtId="0" fontId="42" fillId="0" borderId="4" xfId="0" applyFont="1" applyBorder="1" applyAlignment="1">
      <alignment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3" fontId="35" fillId="0" borderId="2" xfId="0" applyNumberFormat="1" applyFont="1" applyBorder="1" applyAlignment="1">
      <alignment horizontal="left" vertical="center"/>
    </xf>
    <xf numFmtId="0" fontId="35" fillId="0" borderId="2" xfId="0" applyFont="1" applyBorder="1" applyAlignment="1">
      <alignment vertical="center"/>
    </xf>
    <xf numFmtId="0" fontId="37" fillId="0" borderId="41" xfId="0" applyFont="1" applyBorder="1" applyAlignment="1">
      <alignment vertical="center"/>
    </xf>
    <xf numFmtId="0" fontId="42" fillId="0" borderId="1" xfId="0" applyFont="1" applyBorder="1" applyAlignment="1">
      <alignment vertical="center"/>
    </xf>
    <xf numFmtId="0" fontId="41" fillId="0" borderId="2" xfId="0" applyFont="1" applyBorder="1" applyAlignment="1">
      <alignment vertical="center"/>
    </xf>
    <xf numFmtId="0" fontId="57" fillId="0" borderId="1" xfId="0" applyFont="1" applyBorder="1" applyAlignment="1">
      <alignment horizontal="center" vertical="center"/>
    </xf>
    <xf numFmtId="3" fontId="57" fillId="0" borderId="2" xfId="0" applyNumberFormat="1" applyFont="1" applyBorder="1" applyAlignment="1">
      <alignment horizontal="center" vertical="center"/>
    </xf>
    <xf numFmtId="0" fontId="57" fillId="0" borderId="2" xfId="0" applyFont="1" applyBorder="1" applyAlignment="1">
      <alignment horizontal="center" vertical="center"/>
    </xf>
    <xf numFmtId="0" fontId="57" fillId="0" borderId="2" xfId="0" applyFont="1" applyBorder="1" applyAlignment="1">
      <alignment horizontal="right" vertical="center"/>
    </xf>
    <xf numFmtId="0" fontId="121" fillId="0" borderId="41" xfId="0" applyFont="1" applyBorder="1" applyAlignment="1">
      <alignment horizontal="right" vertical="center"/>
    </xf>
    <xf numFmtId="0" fontId="42" fillId="0" borderId="8" xfId="0" applyFont="1" applyBorder="1" applyAlignment="1">
      <alignment vertical="center"/>
    </xf>
    <xf numFmtId="0" fontId="42" fillId="0" borderId="9" xfId="0" applyFont="1" applyBorder="1" applyAlignment="1">
      <alignment vertical="center"/>
    </xf>
    <xf numFmtId="0" fontId="41" fillId="0" borderId="37" xfId="0" applyFont="1" applyBorder="1" applyAlignment="1">
      <alignment vertical="center"/>
    </xf>
    <xf numFmtId="0" fontId="35" fillId="0" borderId="8" xfId="0" applyFont="1" applyBorder="1" applyAlignment="1">
      <alignment vertical="center"/>
    </xf>
    <xf numFmtId="3" fontId="35" fillId="0" borderId="9" xfId="0" applyNumberFormat="1" applyFont="1" applyBorder="1" applyAlignment="1">
      <alignment vertical="center"/>
    </xf>
    <xf numFmtId="3" fontId="39" fillId="0" borderId="9" xfId="0" applyNumberFormat="1" applyFont="1" applyBorder="1"/>
    <xf numFmtId="0" fontId="35" fillId="0" borderId="9" xfId="0" applyFont="1" applyBorder="1" applyAlignment="1">
      <alignment vertical="center"/>
    </xf>
    <xf numFmtId="0" fontId="37" fillId="0" borderId="48" xfId="0" applyFont="1" applyBorder="1" applyAlignment="1">
      <alignment vertical="center"/>
    </xf>
    <xf numFmtId="0" fontId="37" fillId="0" borderId="12" xfId="0" applyFont="1" applyBorder="1"/>
    <xf numFmtId="0" fontId="37" fillId="0" borderId="46" xfId="0" applyFont="1" applyBorder="1" applyAlignment="1">
      <alignment vertical="center"/>
    </xf>
    <xf numFmtId="0" fontId="39" fillId="0" borderId="7" xfId="0" applyFont="1" applyBorder="1" applyAlignment="1">
      <alignment vertical="center"/>
    </xf>
    <xf numFmtId="0" fontId="37" fillId="0" borderId="1" xfId="0" applyFont="1" applyBorder="1"/>
    <xf numFmtId="0" fontId="37" fillId="0" borderId="2" xfId="0" applyFont="1" applyBorder="1" applyAlignment="1">
      <alignment horizontal="left"/>
    </xf>
    <xf numFmtId="0" fontId="37" fillId="0" borderId="4" xfId="0" applyFont="1" applyBorder="1"/>
    <xf numFmtId="0" fontId="39" fillId="0" borderId="1" xfId="0" applyFont="1" applyBorder="1" applyAlignment="1">
      <alignment horizontal="left"/>
    </xf>
    <xf numFmtId="2" fontId="39" fillId="0" borderId="2" xfId="0" applyNumberFormat="1" applyFont="1" applyBorder="1"/>
    <xf numFmtId="0" fontId="39" fillId="0" borderId="2" xfId="0" applyFont="1" applyBorder="1"/>
    <xf numFmtId="0" fontId="39" fillId="0" borderId="2" xfId="0" applyFont="1" applyBorder="1" applyAlignment="1">
      <alignment horizontal="left"/>
    </xf>
    <xf numFmtId="0" fontId="37" fillId="0" borderId="2" xfId="0" applyFont="1" applyBorder="1"/>
    <xf numFmtId="0" fontId="37" fillId="0" borderId="8" xfId="0" applyFont="1" applyBorder="1"/>
    <xf numFmtId="0" fontId="37" fillId="0" borderId="9" xfId="0" applyFont="1" applyBorder="1" applyAlignment="1">
      <alignment horizontal="left"/>
    </xf>
    <xf numFmtId="0" fontId="37" fillId="0" borderId="37" xfId="0" applyFont="1" applyBorder="1"/>
    <xf numFmtId="0" fontId="39" fillId="0" borderId="8" xfId="0" applyFont="1" applyBorder="1" applyAlignment="1">
      <alignment horizontal="left"/>
    </xf>
    <xf numFmtId="0" fontId="37" fillId="0" borderId="51" xfId="0" applyFont="1" applyBorder="1"/>
    <xf numFmtId="0" fontId="37" fillId="0" borderId="21" xfId="0" applyFont="1" applyBorder="1"/>
    <xf numFmtId="0" fontId="37" fillId="0" borderId="35" xfId="0" applyFont="1" applyBorder="1" applyAlignment="1">
      <alignment vertical="center"/>
    </xf>
    <xf numFmtId="0" fontId="39" fillId="0" borderId="11" xfId="0" applyFont="1" applyBorder="1" applyAlignment="1">
      <alignment horizontal="center"/>
    </xf>
    <xf numFmtId="2" fontId="39" fillId="0" borderId="12" xfId="0" applyNumberFormat="1" applyFont="1" applyBorder="1"/>
    <xf numFmtId="0" fontId="39" fillId="0" borderId="12" xfId="0" applyFont="1" applyBorder="1"/>
    <xf numFmtId="2" fontId="39" fillId="0" borderId="2" xfId="0" applyNumberFormat="1" applyFont="1" applyBorder="1" applyAlignment="1">
      <alignment vertical="center"/>
    </xf>
    <xf numFmtId="0" fontId="39" fillId="0" borderId="1" xfId="0" applyFont="1" applyBorder="1" applyAlignment="1">
      <alignment horizontal="center"/>
    </xf>
    <xf numFmtId="0" fontId="39" fillId="0" borderId="2" xfId="0" applyFont="1" applyBorder="1" applyAlignment="1">
      <alignment vertical="center"/>
    </xf>
    <xf numFmtId="0" fontId="43" fillId="0" borderId="4" xfId="0" applyFont="1" applyBorder="1"/>
    <xf numFmtId="2" fontId="44" fillId="0" borderId="2" xfId="0" applyNumberFormat="1" applyFont="1" applyBorder="1"/>
    <xf numFmtId="3" fontId="39" fillId="0" borderId="2" xfId="0" applyNumberFormat="1" applyFont="1" applyBorder="1" applyAlignment="1">
      <alignment vertical="center"/>
    </xf>
    <xf numFmtId="0" fontId="39" fillId="0" borderId="5" xfId="0" applyFont="1" applyBorder="1"/>
    <xf numFmtId="0" fontId="39" fillId="0" borderId="1" xfId="0" applyFont="1" applyBorder="1"/>
    <xf numFmtId="0" fontId="37" fillId="3" borderId="4" xfId="0" applyFont="1" applyFill="1" applyBorder="1" applyProtection="1">
      <protection locked="0"/>
    </xf>
    <xf numFmtId="39" fontId="39" fillId="3" borderId="12" xfId="1" applyNumberFormat="1" applyFont="1" applyFill="1" applyBorder="1" applyProtection="1">
      <protection locked="0"/>
    </xf>
    <xf numFmtId="39" fontId="39" fillId="3" borderId="2" xfId="1" applyNumberFormat="1" applyFont="1" applyFill="1" applyBorder="1" applyProtection="1">
      <protection locked="0"/>
    </xf>
    <xf numFmtId="0" fontId="37" fillId="0" borderId="9" xfId="0" applyFont="1" applyBorder="1"/>
    <xf numFmtId="0" fontId="37" fillId="0" borderId="21" xfId="0" applyFont="1" applyBorder="1" applyAlignment="1">
      <alignment vertical="center"/>
    </xf>
    <xf numFmtId="0" fontId="39" fillId="0" borderId="11" xfId="0" applyFont="1" applyBorder="1"/>
    <xf numFmtId="3" fontId="39" fillId="0" borderId="12" xfId="0" applyNumberFormat="1" applyFont="1" applyBorder="1"/>
    <xf numFmtId="3" fontId="39" fillId="0" borderId="2" xfId="0" applyNumberFormat="1" applyFont="1" applyBorder="1"/>
    <xf numFmtId="0" fontId="37" fillId="0" borderId="52" xfId="0" applyFont="1" applyBorder="1"/>
    <xf numFmtId="0" fontId="37" fillId="2" borderId="4" xfId="0" applyFont="1" applyFill="1" applyBorder="1"/>
    <xf numFmtId="3" fontId="39" fillId="2" borderId="2" xfId="0" applyNumberFormat="1" applyFont="1" applyFill="1" applyBorder="1"/>
    <xf numFmtId="2" fontId="39" fillId="2" borderId="2" xfId="0" applyNumberFormat="1" applyFont="1" applyFill="1" applyBorder="1"/>
    <xf numFmtId="166" fontId="39" fillId="0" borderId="2" xfId="0" applyNumberFormat="1" applyFont="1" applyBorder="1"/>
    <xf numFmtId="3" fontId="37" fillId="0" borderId="12" xfId="0" applyNumberFormat="1" applyFont="1" applyBorder="1"/>
    <xf numFmtId="0" fontId="39" fillId="0" borderId="12" xfId="0" applyFont="1" applyBorder="1" applyAlignment="1">
      <alignment horizontal="left" vertical="center"/>
    </xf>
    <xf numFmtId="0" fontId="37" fillId="0" borderId="45" xfId="0" applyFont="1" applyBorder="1"/>
    <xf numFmtId="0" fontId="39" fillId="0" borderId="4" xfId="0" applyFont="1" applyBorder="1"/>
    <xf numFmtId="0" fontId="39" fillId="4" borderId="1" xfId="0" applyFont="1" applyFill="1" applyBorder="1" applyAlignment="1">
      <alignment horizontal="left"/>
    </xf>
    <xf numFmtId="3" fontId="39" fillId="4" borderId="2" xfId="0" applyNumberFormat="1" applyFont="1" applyFill="1" applyBorder="1"/>
    <xf numFmtId="3" fontId="39" fillId="4" borderId="2" xfId="0" applyNumberFormat="1" applyFont="1" applyFill="1" applyBorder="1" applyAlignment="1">
      <alignment horizontal="left"/>
    </xf>
    <xf numFmtId="0" fontId="39" fillId="4" borderId="2" xfId="0" applyFont="1" applyFill="1" applyBorder="1" applyAlignment="1">
      <alignment horizontal="left"/>
    </xf>
    <xf numFmtId="0" fontId="39" fillId="4" borderId="2" xfId="0" applyFont="1" applyFill="1" applyBorder="1"/>
    <xf numFmtId="0" fontId="37" fillId="4" borderId="41" xfId="0" applyFont="1" applyFill="1" applyBorder="1"/>
    <xf numFmtId="0" fontId="39" fillId="0" borderId="57" xfId="0" applyFont="1" applyBorder="1" applyAlignment="1">
      <alignment horizontal="left" vertical="center"/>
    </xf>
    <xf numFmtId="0" fontId="37" fillId="0" borderId="54" xfId="0" applyFont="1" applyBorder="1" applyAlignment="1">
      <alignment vertical="center"/>
    </xf>
    <xf numFmtId="0" fontId="37" fillId="0" borderId="25" xfId="0" applyFont="1" applyBorder="1" applyAlignment="1">
      <alignment vertical="center"/>
    </xf>
    <xf numFmtId="0" fontId="37" fillId="4" borderId="8" xfId="0" applyFont="1" applyFill="1" applyBorder="1" applyAlignment="1">
      <alignment horizontal="center" vertical="center"/>
    </xf>
    <xf numFmtId="3" fontId="37" fillId="4" borderId="9" xfId="0" applyNumberFormat="1" applyFont="1" applyFill="1" applyBorder="1" applyAlignment="1">
      <alignment vertical="center"/>
    </xf>
    <xf numFmtId="0" fontId="39" fillId="4" borderId="9" xfId="0" applyFont="1" applyFill="1" applyBorder="1" applyAlignment="1">
      <alignment vertical="center"/>
    </xf>
    <xf numFmtId="0" fontId="37" fillId="4" borderId="48" xfId="0" applyFont="1" applyFill="1" applyBorder="1" applyAlignment="1">
      <alignment vertical="center"/>
    </xf>
    <xf numFmtId="0" fontId="39" fillId="0" borderId="5" xfId="0" applyFont="1" applyBorder="1" applyAlignment="1">
      <alignment horizontal="left" vertical="center"/>
    </xf>
    <xf numFmtId="0" fontId="37" fillId="4" borderId="17" xfId="0" applyFont="1" applyFill="1" applyBorder="1" applyAlignment="1">
      <alignment horizontal="center" vertical="center"/>
    </xf>
    <xf numFmtId="3" fontId="37" fillId="4" borderId="18" xfId="0" applyNumberFormat="1" applyFont="1" applyFill="1" applyBorder="1" applyAlignment="1">
      <alignment vertical="center"/>
    </xf>
    <xf numFmtId="0" fontId="39" fillId="4" borderId="18" xfId="0" applyFont="1" applyFill="1" applyBorder="1" applyAlignment="1">
      <alignment vertical="center"/>
    </xf>
    <xf numFmtId="0" fontId="37" fillId="4" borderId="20" xfId="0" applyFont="1" applyFill="1" applyBorder="1" applyAlignment="1">
      <alignment vertical="center"/>
    </xf>
    <xf numFmtId="0" fontId="39" fillId="0" borderId="2" xfId="0" applyFont="1" applyBorder="1" applyAlignment="1">
      <alignment horizontal="center"/>
    </xf>
    <xf numFmtId="2" fontId="37" fillId="0" borderId="41" xfId="0" applyNumberFormat="1" applyFont="1" applyBorder="1"/>
    <xf numFmtId="4" fontId="39" fillId="0" borderId="2" xfId="0" applyNumberFormat="1" applyFont="1" applyBorder="1"/>
    <xf numFmtId="0" fontId="37" fillId="21" borderId="41" xfId="0" applyFont="1" applyFill="1" applyBorder="1"/>
    <xf numFmtId="0" fontId="37" fillId="4" borderId="23" xfId="0" applyFont="1" applyFill="1" applyBorder="1" applyAlignment="1">
      <alignment horizontal="center" vertical="center"/>
    </xf>
    <xf numFmtId="3" fontId="37" fillId="4" borderId="24" xfId="0" applyNumberFormat="1" applyFont="1" applyFill="1" applyBorder="1" applyAlignment="1">
      <alignment vertical="center"/>
    </xf>
    <xf numFmtId="2" fontId="39" fillId="13" borderId="24" xfId="0" applyNumberFormat="1" applyFont="1" applyFill="1" applyBorder="1"/>
    <xf numFmtId="3" fontId="37" fillId="21" borderId="40" xfId="0" applyNumberFormat="1" applyFont="1" applyFill="1" applyBorder="1" applyAlignment="1">
      <alignment vertical="center"/>
    </xf>
    <xf numFmtId="0" fontId="39" fillId="0" borderId="7" xfId="0" applyFont="1" applyBorder="1" applyAlignment="1">
      <alignment horizontal="left" vertical="center"/>
    </xf>
    <xf numFmtId="0" fontId="37" fillId="21" borderId="20" xfId="0" applyFont="1" applyFill="1" applyBorder="1" applyAlignment="1">
      <alignment vertical="center"/>
    </xf>
    <xf numFmtId="0" fontId="39" fillId="2" borderId="1" xfId="0" applyFont="1" applyFill="1" applyBorder="1" applyAlignment="1">
      <alignment horizontal="center"/>
    </xf>
    <xf numFmtId="49" fontId="37" fillId="0" borderId="0" xfId="0" applyNumberFormat="1" applyFont="1" applyAlignment="1">
      <alignment horizontal="center" vertical="center"/>
    </xf>
    <xf numFmtId="0" fontId="44" fillId="0" borderId="1" xfId="0" applyFont="1" applyBorder="1" applyAlignment="1">
      <alignment horizontal="center"/>
    </xf>
    <xf numFmtId="3" fontId="44" fillId="0" borderId="2" xfId="0" applyNumberFormat="1" applyFont="1" applyBorder="1"/>
    <xf numFmtId="49" fontId="37" fillId="0" borderId="0" xfId="0" applyNumberFormat="1" applyFont="1" applyAlignment="1">
      <alignment horizontal="center"/>
    </xf>
    <xf numFmtId="0" fontId="52" fillId="0" borderId="37" xfId="0" applyFont="1" applyBorder="1"/>
    <xf numFmtId="0" fontId="39" fillId="0" borderId="1" xfId="0" applyFont="1" applyBorder="1" applyAlignment="1">
      <alignment horizontal="left" vertical="center"/>
    </xf>
    <xf numFmtId="0" fontId="39" fillId="0" borderId="2" xfId="0" applyFont="1" applyBorder="1" applyAlignment="1">
      <alignment horizontal="left" vertical="center"/>
    </xf>
    <xf numFmtId="0" fontId="37" fillId="0" borderId="4" xfId="0" applyFont="1" applyBorder="1" applyAlignment="1">
      <alignment vertical="center"/>
    </xf>
    <xf numFmtId="0" fontId="39" fillId="0" borderId="1" xfId="0" applyFont="1" applyBorder="1" applyAlignment="1">
      <alignment horizontal="center" vertical="center"/>
    </xf>
    <xf numFmtId="0" fontId="39" fillId="0" borderId="50" xfId="0" applyFont="1" applyBorder="1" applyAlignment="1">
      <alignment horizontal="left" vertical="center"/>
    </xf>
    <xf numFmtId="0" fontId="39" fillId="0" borderId="3" xfId="0" applyFont="1" applyBorder="1" applyAlignment="1">
      <alignment horizontal="left" vertical="center"/>
    </xf>
    <xf numFmtId="0" fontId="39" fillId="0" borderId="10" xfId="0" applyFont="1" applyBorder="1" applyAlignment="1">
      <alignment horizontal="center" vertical="center"/>
    </xf>
    <xf numFmtId="3" fontId="39" fillId="0" borderId="0" xfId="0" applyNumberFormat="1" applyFont="1" applyAlignment="1">
      <alignment vertical="center"/>
    </xf>
    <xf numFmtId="2" fontId="39" fillId="0" borderId="0" xfId="0" applyNumberFormat="1" applyFont="1" applyAlignment="1">
      <alignment vertical="center"/>
    </xf>
    <xf numFmtId="0" fontId="39" fillId="0" borderId="0" xfId="0" applyFont="1" applyAlignment="1">
      <alignment horizontal="center"/>
    </xf>
    <xf numFmtId="3" fontId="39" fillId="0" borderId="0" xfId="0" applyNumberFormat="1" applyFont="1"/>
    <xf numFmtId="2" fontId="39" fillId="0" borderId="0" xfId="0" applyNumberFormat="1" applyFont="1"/>
    <xf numFmtId="0" fontId="37" fillId="0" borderId="37" xfId="0" applyFont="1" applyBorder="1" applyAlignment="1">
      <alignment horizontal="left"/>
    </xf>
    <xf numFmtId="166" fontId="39" fillId="0" borderId="2" xfId="0" applyNumberFormat="1" applyFont="1" applyBorder="1" applyAlignment="1">
      <alignment vertical="center"/>
    </xf>
    <xf numFmtId="0" fontId="37" fillId="21" borderId="41" xfId="0" applyFont="1" applyFill="1" applyBorder="1" applyAlignment="1">
      <alignment vertical="center"/>
    </xf>
    <xf numFmtId="0" fontId="37" fillId="21" borderId="22" xfId="0" applyFont="1" applyFill="1" applyBorder="1" applyAlignment="1">
      <alignment vertical="center"/>
    </xf>
    <xf numFmtId="0" fontId="39" fillId="0" borderId="51" xfId="0" applyFont="1" applyBorder="1" applyAlignment="1">
      <alignment horizontal="left" vertical="center"/>
    </xf>
    <xf numFmtId="0" fontId="37" fillId="0" borderId="52" xfId="0" applyFont="1" applyBorder="1" applyAlignment="1">
      <alignment horizontal="left" vertical="center"/>
    </xf>
    <xf numFmtId="0" fontId="37" fillId="4" borderId="10" xfId="0" applyFont="1" applyFill="1" applyBorder="1" applyAlignment="1">
      <alignment horizontal="center" vertical="center"/>
    </xf>
    <xf numFmtId="3" fontId="37" fillId="4" borderId="0" xfId="0" applyNumberFormat="1" applyFont="1" applyFill="1" applyAlignment="1">
      <alignment vertical="center"/>
    </xf>
    <xf numFmtId="0" fontId="39" fillId="4" borderId="0" xfId="0" applyFont="1" applyFill="1" applyAlignment="1">
      <alignment vertical="center"/>
    </xf>
    <xf numFmtId="0" fontId="37" fillId="0" borderId="4" xfId="0" applyFont="1" applyBorder="1" applyAlignment="1">
      <alignment horizontal="left"/>
    </xf>
    <xf numFmtId="0" fontId="37" fillId="0" borderId="37" xfId="0" quotePrefix="1" applyFont="1" applyBorder="1" applyAlignment="1">
      <alignment horizontal="left"/>
    </xf>
    <xf numFmtId="0" fontId="37" fillId="21" borderId="45" xfId="0" applyFont="1" applyFill="1" applyBorder="1"/>
    <xf numFmtId="0" fontId="39" fillId="0" borderId="11" xfId="0" applyFont="1" applyBorder="1" applyAlignment="1">
      <alignment horizontal="left" vertical="center"/>
    </xf>
    <xf numFmtId="0" fontId="37" fillId="0" borderId="39" xfId="0" applyFont="1" applyBorder="1" applyAlignment="1">
      <alignment vertical="center"/>
    </xf>
    <xf numFmtId="0" fontId="37" fillId="0" borderId="7" xfId="0" applyFont="1" applyBorder="1"/>
    <xf numFmtId="0" fontId="39" fillId="0" borderId="17" xfId="0" applyFont="1" applyBorder="1" applyAlignment="1">
      <alignment horizontal="center"/>
    </xf>
    <xf numFmtId="3" fontId="37" fillId="21" borderId="20" xfId="0" applyNumberFormat="1" applyFont="1" applyFill="1" applyBorder="1" applyAlignment="1">
      <alignment vertical="center"/>
    </xf>
    <xf numFmtId="0" fontId="37" fillId="0" borderId="39" xfId="0" applyFont="1" applyBorder="1" applyAlignment="1">
      <alignment horizontal="left" vertical="center"/>
    </xf>
    <xf numFmtId="3" fontId="37" fillId="21" borderId="22" xfId="0" applyNumberFormat="1" applyFont="1" applyFill="1" applyBorder="1" applyAlignment="1">
      <alignment vertical="center"/>
    </xf>
    <xf numFmtId="2" fontId="37" fillId="0" borderId="0" xfId="0" applyNumberFormat="1" applyFont="1" applyAlignment="1">
      <alignment horizontal="left" wrapText="1"/>
    </xf>
    <xf numFmtId="3" fontId="37" fillId="4" borderId="40" xfId="0" applyNumberFormat="1" applyFont="1" applyFill="1" applyBorder="1" applyAlignment="1">
      <alignment vertical="center"/>
    </xf>
    <xf numFmtId="0" fontId="37" fillId="0" borderId="39" xfId="0" applyFont="1" applyBorder="1"/>
    <xf numFmtId="0" fontId="37" fillId="4" borderId="22" xfId="0" applyFont="1" applyFill="1" applyBorder="1" applyAlignment="1">
      <alignment vertical="center"/>
    </xf>
    <xf numFmtId="0" fontId="37" fillId="3" borderId="11" xfId="0" applyFont="1" applyFill="1" applyBorder="1" applyAlignment="1" applyProtection="1">
      <alignment horizontal="center"/>
      <protection locked="0"/>
    </xf>
    <xf numFmtId="3" fontId="37" fillId="3" borderId="12" xfId="0" applyNumberFormat="1" applyFont="1" applyFill="1" applyBorder="1" applyProtection="1">
      <protection locked="0"/>
    </xf>
    <xf numFmtId="2" fontId="37" fillId="3" borderId="12" xfId="0" applyNumberFormat="1" applyFont="1" applyFill="1" applyBorder="1" applyProtection="1">
      <protection locked="0"/>
    </xf>
    <xf numFmtId="0" fontId="37" fillId="21" borderId="2" xfId="0" applyFont="1" applyFill="1" applyBorder="1"/>
    <xf numFmtId="0" fontId="37" fillId="3" borderId="1" xfId="0" applyFont="1" applyFill="1" applyBorder="1" applyAlignment="1" applyProtection="1">
      <alignment horizontal="center"/>
      <protection locked="0"/>
    </xf>
    <xf numFmtId="3" fontId="37" fillId="3" borderId="2" xfId="0" applyNumberFormat="1" applyFont="1" applyFill="1" applyBorder="1" applyProtection="1">
      <protection locked="0"/>
    </xf>
    <xf numFmtId="2" fontId="37" fillId="3" borderId="2" xfId="0" applyNumberFormat="1" applyFont="1" applyFill="1" applyBorder="1" applyProtection="1">
      <protection locked="0"/>
    </xf>
    <xf numFmtId="0" fontId="37" fillId="3" borderId="50" xfId="0" applyFont="1" applyFill="1" applyBorder="1" applyAlignment="1" applyProtection="1">
      <alignment horizontal="center"/>
      <protection locked="0"/>
    </xf>
    <xf numFmtId="3" fontId="37" fillId="3" borderId="3" xfId="0" applyNumberFormat="1" applyFont="1" applyFill="1" applyBorder="1" applyProtection="1">
      <protection locked="0"/>
    </xf>
    <xf numFmtId="2" fontId="37" fillId="3" borderId="3" xfId="0" applyNumberFormat="1" applyFont="1" applyFill="1" applyBorder="1" applyProtection="1">
      <protection locked="0"/>
    </xf>
    <xf numFmtId="39" fontId="39" fillId="3" borderId="3" xfId="1" applyNumberFormat="1" applyFont="1" applyFill="1" applyBorder="1" applyProtection="1">
      <protection locked="0"/>
    </xf>
    <xf numFmtId="0" fontId="37" fillId="21" borderId="49" xfId="0" applyFont="1" applyFill="1" applyBorder="1"/>
    <xf numFmtId="0" fontId="37" fillId="4" borderId="18" xfId="0" applyFont="1" applyFill="1" applyBorder="1" applyAlignment="1">
      <alignment horizontal="center" vertical="center"/>
    </xf>
    <xf numFmtId="3" fontId="37" fillId="4" borderId="20" xfId="0" applyNumberFormat="1" applyFont="1" applyFill="1" applyBorder="1" applyAlignment="1">
      <alignment vertical="center"/>
    </xf>
    <xf numFmtId="0" fontId="37" fillId="0" borderId="12" xfId="0" applyFont="1" applyBorder="1" applyAlignment="1">
      <alignment horizontal="center"/>
    </xf>
    <xf numFmtId="0" fontId="37" fillId="0" borderId="9" xfId="0" applyFont="1" applyBorder="1" applyAlignment="1">
      <alignment horizontal="center"/>
    </xf>
    <xf numFmtId="3" fontId="37" fillId="0" borderId="9" xfId="0" applyNumberFormat="1" applyFont="1" applyBorder="1"/>
    <xf numFmtId="0" fontId="31" fillId="0" borderId="9" xfId="0" quotePrefix="1" applyFont="1" applyBorder="1" applyAlignment="1">
      <alignment horizontal="left"/>
    </xf>
    <xf numFmtId="2" fontId="39" fillId="14" borderId="9" xfId="0" applyNumberFormat="1" applyFont="1" applyFill="1" applyBorder="1"/>
    <xf numFmtId="0" fontId="37" fillId="0" borderId="48" xfId="0" applyFont="1" applyBorder="1"/>
    <xf numFmtId="0" fontId="122" fillId="0" borderId="0" xfId="0" applyFont="1" applyAlignment="1">
      <alignment horizontal="right"/>
    </xf>
    <xf numFmtId="0" fontId="122" fillId="0" borderId="0" xfId="0" applyFont="1"/>
    <xf numFmtId="0" fontId="122" fillId="0" borderId="0" xfId="0" applyFont="1" applyAlignment="1" applyProtection="1">
      <alignment horizontal="center"/>
      <protection locked="0"/>
    </xf>
    <xf numFmtId="3" fontId="122" fillId="0" borderId="0" xfId="0" applyNumberFormat="1" applyFont="1"/>
    <xf numFmtId="4" fontId="122" fillId="0" borderId="0" xfId="0" applyNumberFormat="1" applyFont="1"/>
    <xf numFmtId="0" fontId="15" fillId="0" borderId="0" xfId="0" applyFont="1" applyAlignment="1">
      <alignment horizontal="right"/>
    </xf>
    <xf numFmtId="14" fontId="15" fillId="0" borderId="0" xfId="0" applyNumberFormat="1" applyFont="1"/>
    <xf numFmtId="4" fontId="39" fillId="0" borderId="0" xfId="0" applyNumberFormat="1" applyFont="1"/>
    <xf numFmtId="0" fontId="45" fillId="0" borderId="0" xfId="0" applyFont="1" applyAlignment="1">
      <alignment horizontal="right" vertical="center"/>
    </xf>
    <xf numFmtId="2" fontId="18" fillId="0" borderId="13" xfId="0" applyNumberFormat="1" applyFont="1" applyBorder="1" applyAlignment="1">
      <alignment horizontal="center" vertical="center"/>
    </xf>
    <xf numFmtId="0" fontId="0" fillId="0" borderId="0" xfId="0" applyAlignment="1">
      <alignment vertical="center"/>
    </xf>
    <xf numFmtId="0" fontId="0" fillId="0" borderId="0" xfId="0" applyAlignment="1" applyProtection="1">
      <alignment horizontal="center" vertical="center"/>
      <protection locked="0"/>
    </xf>
    <xf numFmtId="3" fontId="0" fillId="0" borderId="0" xfId="0" applyNumberFormat="1" applyAlignment="1">
      <alignment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2" fontId="18" fillId="0" borderId="10" xfId="0" applyNumberFormat="1" applyFont="1" applyBorder="1" applyAlignment="1">
      <alignment horizontal="center" vertical="center"/>
    </xf>
    <xf numFmtId="0" fontId="0" fillId="0" borderId="0" xfId="0" applyAlignment="1">
      <alignment horizontal="right" vertical="center"/>
    </xf>
    <xf numFmtId="2" fontId="2" fillId="1" borderId="111" xfId="0" applyNumberFormat="1" applyFont="1" applyFill="1" applyBorder="1" applyAlignment="1">
      <alignment vertical="center"/>
    </xf>
    <xf numFmtId="2" fontId="2" fillId="1" borderId="68" xfId="0" applyNumberFormat="1" applyFont="1" applyFill="1" applyBorder="1" applyAlignment="1">
      <alignment vertical="center"/>
    </xf>
    <xf numFmtId="2" fontId="2" fillId="1" borderId="101" xfId="0" applyNumberFormat="1" applyFont="1" applyFill="1" applyBorder="1" applyAlignment="1">
      <alignment vertical="center"/>
    </xf>
    <xf numFmtId="2" fontId="2" fillId="1" borderId="112" xfId="0" applyNumberFormat="1" applyFont="1" applyFill="1" applyBorder="1" applyAlignment="1">
      <alignment vertical="center"/>
    </xf>
    <xf numFmtId="0" fontId="0" fillId="0" borderId="3" xfId="0" applyBorder="1"/>
    <xf numFmtId="4" fontId="2" fillId="0" borderId="33" xfId="0" applyNumberFormat="1" applyFont="1" applyBorder="1" applyAlignment="1">
      <alignment horizontal="left"/>
    </xf>
    <xf numFmtId="0" fontId="2" fillId="0" borderId="4" xfId="0" applyFont="1" applyBorder="1"/>
    <xf numFmtId="2" fontId="2" fillId="1" borderId="23" xfId="0" applyNumberFormat="1" applyFont="1" applyFill="1" applyBorder="1" applyAlignment="1">
      <alignment vertical="center"/>
    </xf>
    <xf numFmtId="2" fontId="2" fillId="1" borderId="24" xfId="0" applyNumberFormat="1" applyFont="1" applyFill="1" applyBorder="1" applyAlignment="1">
      <alignment vertical="center"/>
    </xf>
    <xf numFmtId="2" fontId="2" fillId="1" borderId="113" xfId="0" applyNumberFormat="1" applyFont="1" applyFill="1" applyBorder="1" applyAlignment="1">
      <alignment vertical="center"/>
    </xf>
    <xf numFmtId="2" fontId="2" fillId="1" borderId="114" xfId="0" applyNumberFormat="1" applyFont="1" applyFill="1" applyBorder="1" applyAlignment="1">
      <alignment vertical="center"/>
    </xf>
    <xf numFmtId="0" fontId="0" fillId="0" borderId="3" xfId="0" applyBorder="1" applyAlignment="1">
      <alignment wrapText="1"/>
    </xf>
    <xf numFmtId="4" fontId="3" fillId="0" borderId="0" xfId="0" applyNumberFormat="1" applyFont="1" applyAlignment="1">
      <alignment horizontal="left"/>
    </xf>
    <xf numFmtId="0" fontId="0" fillId="0" borderId="4" xfId="0" applyBorder="1"/>
    <xf numFmtId="2" fontId="3" fillId="0" borderId="60" xfId="0" applyNumberFormat="1" applyFont="1" applyBorder="1"/>
    <xf numFmtId="0" fontId="0" fillId="3" borderId="115" xfId="0" applyFill="1" applyBorder="1" applyAlignment="1">
      <alignment horizontal="center"/>
    </xf>
    <xf numFmtId="3" fontId="0" fillId="0" borderId="116" xfId="0" applyNumberFormat="1" applyBorder="1"/>
    <xf numFmtId="0" fontId="0" fillId="0" borderId="117" xfId="0" applyBorder="1"/>
    <xf numFmtId="0" fontId="0" fillId="0" borderId="52" xfId="0" applyBorder="1" applyAlignment="1">
      <alignment wrapText="1"/>
    </xf>
    <xf numFmtId="2" fontId="3" fillId="0" borderId="30" xfId="0" applyNumberFormat="1" applyFont="1" applyBorder="1"/>
    <xf numFmtId="0" fontId="0" fillId="3" borderId="118" xfId="0" applyFill="1" applyBorder="1" applyAlignment="1">
      <alignment horizontal="center"/>
    </xf>
    <xf numFmtId="3" fontId="0" fillId="0" borderId="2" xfId="0" applyNumberFormat="1" applyBorder="1"/>
    <xf numFmtId="0" fontId="0" fillId="0" borderId="119" xfId="0" applyBorder="1"/>
    <xf numFmtId="2" fontId="3" fillId="0" borderId="120" xfId="0" applyNumberFormat="1" applyFont="1" applyBorder="1"/>
    <xf numFmtId="0" fontId="0" fillId="3" borderId="121" xfId="0" applyFill="1" applyBorder="1" applyAlignment="1">
      <alignment horizontal="center"/>
    </xf>
    <xf numFmtId="3" fontId="0" fillId="0" borderId="122" xfId="0" applyNumberFormat="1" applyBorder="1"/>
    <xf numFmtId="0" fontId="0" fillId="0" borderId="123" xfId="0" applyBorder="1"/>
    <xf numFmtId="0" fontId="3" fillId="0" borderId="63" xfId="0" applyFont="1" applyBorder="1" applyAlignment="1">
      <alignment horizontal="right"/>
    </xf>
    <xf numFmtId="2" fontId="2" fillId="13" borderId="124" xfId="0" applyNumberFormat="1" applyFont="1" applyFill="1" applyBorder="1"/>
    <xf numFmtId="0" fontId="0" fillId="13" borderId="0" xfId="0" applyFill="1"/>
    <xf numFmtId="0" fontId="0" fillId="13" borderId="125" xfId="0" applyFill="1" applyBorder="1" applyAlignment="1">
      <alignment horizontal="center"/>
    </xf>
    <xf numFmtId="3" fontId="0" fillId="13" borderId="12" xfId="0" applyNumberFormat="1" applyFill="1" applyBorder="1"/>
    <xf numFmtId="3" fontId="0" fillId="13" borderId="126" xfId="0" applyNumberFormat="1" applyFill="1" applyBorder="1"/>
    <xf numFmtId="4" fontId="2" fillId="0" borderId="0" xfId="0" applyNumberFormat="1" applyFont="1" applyAlignment="1">
      <alignment horizontal="left"/>
    </xf>
    <xf numFmtId="0" fontId="0" fillId="0" borderId="28" xfId="0" applyBorder="1"/>
    <xf numFmtId="2" fontId="2" fillId="1" borderId="127" xfId="0" applyNumberFormat="1" applyFont="1" applyFill="1" applyBorder="1" applyAlignment="1">
      <alignment vertical="center"/>
    </xf>
    <xf numFmtId="2" fontId="2" fillId="1" borderId="128" xfId="0" applyNumberFormat="1" applyFont="1" applyFill="1" applyBorder="1" applyAlignment="1">
      <alignment vertical="center"/>
    </xf>
    <xf numFmtId="2" fontId="2" fillId="1" borderId="129" xfId="0" applyNumberFormat="1" applyFont="1" applyFill="1" applyBorder="1" applyAlignment="1">
      <alignment vertical="center"/>
    </xf>
    <xf numFmtId="2" fontId="2" fillId="1" borderId="130" xfId="0" applyNumberFormat="1" applyFont="1" applyFill="1" applyBorder="1" applyAlignment="1">
      <alignment vertical="center"/>
    </xf>
    <xf numFmtId="3" fontId="0" fillId="0" borderId="3" xfId="0" applyNumberFormat="1" applyBorder="1"/>
    <xf numFmtId="0" fontId="0" fillId="0" borderId="52" xfId="0" applyBorder="1"/>
    <xf numFmtId="0" fontId="3" fillId="0" borderId="4" xfId="0" applyFont="1" applyBorder="1"/>
    <xf numFmtId="0" fontId="0" fillId="0" borderId="12" xfId="0" applyBorder="1"/>
    <xf numFmtId="4" fontId="2" fillId="0" borderId="18" xfId="0" applyNumberFormat="1" applyFont="1" applyBorder="1" applyAlignment="1">
      <alignment horizontal="left"/>
    </xf>
    <xf numFmtId="0" fontId="0" fillId="0" borderId="58" xfId="0" applyBorder="1"/>
    <xf numFmtId="2" fontId="3" fillId="0" borderId="64" xfId="0" applyNumberFormat="1" applyFont="1" applyBorder="1"/>
    <xf numFmtId="0" fontId="0" fillId="0" borderId="28" xfId="0" applyBorder="1" applyAlignment="1">
      <alignment horizontal="right"/>
    </xf>
    <xf numFmtId="4" fontId="2" fillId="14" borderId="75" xfId="0" applyNumberFormat="1" applyFont="1" applyFill="1" applyBorder="1" applyAlignment="1">
      <alignment vertical="center"/>
    </xf>
    <xf numFmtId="0" fontId="0" fillId="14" borderId="24" xfId="0" applyFill="1" applyBorder="1" applyAlignment="1">
      <alignment vertical="center"/>
    </xf>
    <xf numFmtId="2" fontId="2" fillId="14" borderId="23" xfId="0" applyNumberFormat="1" applyFont="1" applyFill="1" applyBorder="1"/>
    <xf numFmtId="0" fontId="0" fillId="14" borderId="24" xfId="0" applyFill="1" applyBorder="1"/>
    <xf numFmtId="0" fontId="0" fillId="14" borderId="131" xfId="0" applyFill="1" applyBorder="1" applyAlignment="1">
      <alignment horizontal="center"/>
    </xf>
    <xf numFmtId="3" fontId="0" fillId="14" borderId="9" xfId="0" applyNumberFormat="1" applyFill="1" applyBorder="1"/>
    <xf numFmtId="0" fontId="0" fillId="14" borderId="132" xfId="0" applyFill="1" applyBorder="1"/>
    <xf numFmtId="0" fontId="0" fillId="0" borderId="31" xfId="0" applyBorder="1"/>
    <xf numFmtId="2" fontId="3" fillId="0" borderId="133" xfId="0" applyNumberFormat="1" applyFont="1" applyBorder="1"/>
    <xf numFmtId="4" fontId="3" fillId="0" borderId="24" xfId="0" applyNumberFormat="1" applyFont="1" applyBorder="1" applyAlignment="1">
      <alignment horizontal="left"/>
    </xf>
    <xf numFmtId="2" fontId="3" fillId="13" borderId="60" xfId="0" applyNumberFormat="1" applyFont="1" applyFill="1" applyBorder="1"/>
    <xf numFmtId="0" fontId="0" fillId="13" borderId="134" xfId="0" applyFill="1" applyBorder="1" applyAlignment="1">
      <alignment horizontal="center"/>
    </xf>
    <xf numFmtId="3" fontId="0" fillId="13" borderId="135" xfId="0" applyNumberFormat="1" applyFill="1" applyBorder="1"/>
    <xf numFmtId="3" fontId="0" fillId="13" borderId="136" xfId="0" applyNumberFormat="1" applyFill="1" applyBorder="1"/>
    <xf numFmtId="0" fontId="0" fillId="0" borderId="0" xfId="0" quotePrefix="1" applyAlignment="1">
      <alignment horizontal="right"/>
    </xf>
    <xf numFmtId="2" fontId="3" fillId="0" borderId="32" xfId="0" applyNumberFormat="1" applyFont="1" applyBorder="1"/>
    <xf numFmtId="0" fontId="0" fillId="3" borderId="137" xfId="0" applyFill="1" applyBorder="1" applyAlignment="1">
      <alignment horizontal="center"/>
    </xf>
    <xf numFmtId="0" fontId="0" fillId="0" borderId="138" xfId="0" applyBorder="1"/>
    <xf numFmtId="0" fontId="0" fillId="13" borderId="131" xfId="0" applyFill="1" applyBorder="1" applyAlignment="1">
      <alignment horizontal="center"/>
    </xf>
    <xf numFmtId="3" fontId="0" fillId="13" borderId="9" xfId="0" applyNumberFormat="1" applyFill="1" applyBorder="1"/>
    <xf numFmtId="3" fontId="0" fillId="13" borderId="132" xfId="0" applyNumberFormat="1" applyFill="1" applyBorder="1"/>
    <xf numFmtId="4" fontId="2" fillId="0" borderId="67" xfId="0" applyNumberFormat="1" applyFont="1" applyBorder="1" applyAlignment="1">
      <alignment horizontal="left"/>
    </xf>
    <xf numFmtId="4" fontId="2" fillId="0" borderId="68" xfId="0" applyNumberFormat="1" applyFont="1" applyBorder="1" applyAlignment="1">
      <alignment horizontal="left"/>
    </xf>
    <xf numFmtId="0" fontId="0" fillId="0" borderId="128" xfId="0" applyBorder="1"/>
    <xf numFmtId="2" fontId="3" fillId="13" borderId="139" xfId="0" applyNumberFormat="1" applyFont="1" applyFill="1" applyBorder="1"/>
    <xf numFmtId="2" fontId="3" fillId="13" borderId="124" xfId="0" applyNumberFormat="1" applyFont="1" applyFill="1" applyBorder="1"/>
    <xf numFmtId="0" fontId="0" fillId="0" borderId="39" xfId="0" applyBorder="1"/>
    <xf numFmtId="2" fontId="0" fillId="0" borderId="4" xfId="0" applyNumberFormat="1" applyBorder="1"/>
    <xf numFmtId="4" fontId="0" fillId="0" borderId="0" xfId="0" applyNumberFormat="1"/>
    <xf numFmtId="4" fontId="3" fillId="0" borderId="4" xfId="0" applyNumberFormat="1" applyFont="1" applyBorder="1" applyAlignment="1">
      <alignment horizontal="left"/>
    </xf>
    <xf numFmtId="4" fontId="2" fillId="14" borderId="15" xfId="0" applyNumberFormat="1" applyFont="1" applyFill="1" applyBorder="1" applyAlignment="1">
      <alignment vertical="center"/>
    </xf>
    <xf numFmtId="0" fontId="0" fillId="14" borderId="15" xfId="0" applyFill="1" applyBorder="1" applyAlignment="1">
      <alignment vertical="center"/>
    </xf>
    <xf numFmtId="2" fontId="2" fillId="14" borderId="13" xfId="0" applyNumberFormat="1" applyFont="1" applyFill="1" applyBorder="1"/>
    <xf numFmtId="3" fontId="0" fillId="0" borderId="119" xfId="0" applyNumberFormat="1" applyBorder="1"/>
    <xf numFmtId="0" fontId="0" fillId="0" borderId="118" xfId="0" applyBorder="1" applyAlignment="1">
      <alignment horizontal="center"/>
    </xf>
    <xf numFmtId="3" fontId="3" fillId="0" borderId="0" xfId="0" quotePrefix="1" applyNumberFormat="1" applyFont="1" applyAlignment="1">
      <alignment horizontal="right"/>
    </xf>
    <xf numFmtId="0" fontId="0" fillId="0" borderId="4" xfId="0" applyBorder="1" applyAlignment="1">
      <alignment horizontal="left"/>
    </xf>
    <xf numFmtId="0" fontId="3" fillId="0" borderId="4" xfId="0" applyFont="1" applyBorder="1" applyAlignment="1">
      <alignment horizontal="left"/>
    </xf>
    <xf numFmtId="2" fontId="3" fillId="0" borderId="10" xfId="0" applyNumberFormat="1" applyFont="1" applyBorder="1"/>
    <xf numFmtId="2" fontId="2" fillId="13" borderId="139" xfId="0" applyNumberFormat="1" applyFont="1" applyFill="1" applyBorder="1"/>
    <xf numFmtId="4" fontId="2" fillId="0" borderId="0" xfId="0" applyNumberFormat="1" applyFont="1" applyAlignment="1">
      <alignment vertical="center"/>
    </xf>
    <xf numFmtId="0" fontId="0" fillId="13" borderId="118" xfId="0" applyFill="1" applyBorder="1" applyAlignment="1">
      <alignment horizontal="center"/>
    </xf>
    <xf numFmtId="3" fontId="0" fillId="13" borderId="2" xfId="0" applyNumberFormat="1" applyFill="1" applyBorder="1"/>
    <xf numFmtId="3" fontId="0" fillId="13" borderId="119" xfId="0" applyNumberFormat="1" applyFill="1" applyBorder="1"/>
    <xf numFmtId="2" fontId="2" fillId="14" borderId="10" xfId="0" applyNumberFormat="1" applyFont="1" applyFill="1" applyBorder="1"/>
    <xf numFmtId="0" fontId="0" fillId="14" borderId="0" xfId="0" applyFill="1"/>
    <xf numFmtId="0" fontId="0" fillId="14" borderId="137" xfId="0" applyFill="1" applyBorder="1" applyAlignment="1">
      <alignment horizontal="center"/>
    </xf>
    <xf numFmtId="3" fontId="0" fillId="14" borderId="3" xfId="0" applyNumberFormat="1" applyFill="1" applyBorder="1"/>
    <xf numFmtId="0" fontId="0" fillId="14" borderId="138" xfId="0" applyFill="1" applyBorder="1"/>
    <xf numFmtId="0" fontId="0" fillId="0" borderId="39" xfId="0" applyBorder="1" applyAlignment="1">
      <alignment vertical="center"/>
    </xf>
    <xf numFmtId="0" fontId="0" fillId="0" borderId="63" xfId="0" applyBorder="1" applyAlignment="1">
      <alignment horizontal="right"/>
    </xf>
    <xf numFmtId="2" fontId="2" fillId="13" borderId="141" xfId="0" applyNumberFormat="1" applyFont="1" applyFill="1" applyBorder="1"/>
    <xf numFmtId="0" fontId="0" fillId="0" borderId="28" xfId="0" applyBorder="1" applyAlignment="1">
      <alignment vertical="center"/>
    </xf>
    <xf numFmtId="0" fontId="0" fillId="0" borderId="4" xfId="0" applyBorder="1" applyAlignment="1">
      <alignment vertical="center"/>
    </xf>
    <xf numFmtId="2" fontId="2" fillId="13" borderId="60" xfId="0" applyNumberFormat="1" applyFont="1" applyFill="1" applyBorder="1"/>
    <xf numFmtId="2" fontId="2" fillId="1" borderId="140" xfId="0" applyNumberFormat="1" applyFont="1" applyFill="1" applyBorder="1" applyAlignment="1">
      <alignment vertical="center"/>
    </xf>
    <xf numFmtId="1" fontId="0" fillId="0" borderId="0" xfId="0" applyNumberFormat="1" applyAlignment="1">
      <alignment horizontal="right"/>
    </xf>
    <xf numFmtId="2" fontId="2" fillId="13" borderId="142" xfId="0" applyNumberFormat="1" applyFont="1" applyFill="1" applyBorder="1"/>
    <xf numFmtId="0" fontId="3" fillId="0" borderId="0" xfId="0" applyFont="1" applyAlignment="1">
      <alignment vertical="center"/>
    </xf>
    <xf numFmtId="2" fontId="17" fillId="14" borderId="143" xfId="0" applyNumberFormat="1" applyFont="1" applyFill="1" applyBorder="1"/>
    <xf numFmtId="0" fontId="0" fillId="0" borderId="22" xfId="0" applyBorder="1" applyAlignment="1">
      <alignment horizontal="right"/>
    </xf>
    <xf numFmtId="0" fontId="0" fillId="0" borderId="61" xfId="0" applyBorder="1"/>
    <xf numFmtId="0" fontId="0" fillId="0" borderId="62" xfId="0" applyBorder="1" applyAlignment="1">
      <alignment horizontal="right"/>
    </xf>
    <xf numFmtId="2" fontId="17" fillId="14" borderId="23" xfId="0" applyNumberFormat="1" applyFont="1" applyFill="1" applyBorder="1"/>
    <xf numFmtId="0" fontId="3" fillId="0" borderId="0" xfId="0" applyFont="1" applyAlignment="1">
      <alignment horizontal="right"/>
    </xf>
    <xf numFmtId="2" fontId="3" fillId="13" borderId="30" xfId="0" applyNumberFormat="1" applyFont="1" applyFill="1" applyBorder="1"/>
    <xf numFmtId="4" fontId="2" fillId="14" borderId="144" xfId="0" applyNumberFormat="1" applyFont="1" applyFill="1" applyBorder="1" applyAlignment="1">
      <alignment vertical="center"/>
    </xf>
    <xf numFmtId="0" fontId="0" fillId="14" borderId="145" xfId="0" applyFill="1" applyBorder="1" applyAlignment="1">
      <alignment vertical="center"/>
    </xf>
    <xf numFmtId="2" fontId="2" fillId="14" borderId="143" xfId="0" applyNumberFormat="1" applyFont="1" applyFill="1" applyBorder="1"/>
    <xf numFmtId="4" fontId="2" fillId="2" borderId="27" xfId="0" applyNumberFormat="1" applyFont="1" applyFill="1" applyBorder="1" applyAlignment="1">
      <alignment vertical="center"/>
    </xf>
    <xf numFmtId="0" fontId="0" fillId="2" borderId="4" xfId="0" applyFill="1" applyBorder="1" applyAlignment="1">
      <alignment vertical="center"/>
    </xf>
    <xf numFmtId="2" fontId="3" fillId="2" borderId="30" xfId="0" applyNumberFormat="1" applyFont="1" applyFill="1" applyBorder="1"/>
    <xf numFmtId="4" fontId="17" fillId="22" borderId="24" xfId="0" applyNumberFormat="1" applyFont="1" applyFill="1" applyBorder="1" applyAlignment="1">
      <alignment vertical="center"/>
    </xf>
    <xf numFmtId="0" fontId="0" fillId="22" borderId="24" xfId="0" applyFill="1" applyBorder="1" applyAlignment="1">
      <alignment vertical="center"/>
    </xf>
    <xf numFmtId="2" fontId="107" fillId="22" borderId="24" xfId="0" applyNumberFormat="1" applyFont="1" applyFill="1" applyBorder="1" applyAlignment="1">
      <alignment vertical="center"/>
    </xf>
    <xf numFmtId="2" fontId="0" fillId="0" borderId="0" xfId="0" applyNumberFormat="1"/>
    <xf numFmtId="0" fontId="0" fillId="0" borderId="146" xfId="0" applyBorder="1" applyAlignment="1">
      <alignment horizontal="center"/>
    </xf>
    <xf numFmtId="3" fontId="0" fillId="0" borderId="147" xfId="0" applyNumberFormat="1" applyBorder="1"/>
    <xf numFmtId="0" fontId="0" fillId="0" borderId="148" xfId="0" applyBorder="1"/>
    <xf numFmtId="4" fontId="17" fillId="0" borderId="0" xfId="0" applyNumberFormat="1" applyFont="1" applyAlignment="1">
      <alignment vertical="center"/>
    </xf>
    <xf numFmtId="0" fontId="123" fillId="0" borderId="0" xfId="0" applyFont="1" applyAlignment="1">
      <alignment horizontal="right" vertical="center"/>
    </xf>
    <xf numFmtId="2" fontId="2" fillId="0" borderId="0" xfId="0" applyNumberFormat="1" applyFont="1"/>
    <xf numFmtId="49" fontId="31" fillId="0" borderId="0" xfId="0" applyNumberFormat="1" applyFont="1" applyAlignment="1">
      <alignment horizontal="left" vertical="center"/>
    </xf>
    <xf numFmtId="0" fontId="39" fillId="23" borderId="0" xfId="0" applyFont="1" applyFill="1" applyBorder="1" applyAlignment="1" applyProtection="1">
      <alignment vertical="center"/>
    </xf>
    <xf numFmtId="0" fontId="37" fillId="23" borderId="22" xfId="0" applyFont="1" applyFill="1" applyBorder="1" applyAlignment="1" applyProtection="1">
      <alignment vertical="center"/>
    </xf>
    <xf numFmtId="0" fontId="37" fillId="23" borderId="6" xfId="0" applyFont="1" applyFill="1" applyBorder="1" applyAlignment="1" applyProtection="1">
      <alignment vertical="center"/>
    </xf>
    <xf numFmtId="0" fontId="37" fillId="23" borderId="41" xfId="0" applyFont="1" applyFill="1" applyBorder="1" applyProtection="1"/>
    <xf numFmtId="0" fontId="37" fillId="23" borderId="48" xfId="0" applyFont="1" applyFill="1" applyBorder="1" applyProtection="1"/>
    <xf numFmtId="0" fontId="37" fillId="23" borderId="20" xfId="0" applyFont="1" applyFill="1" applyBorder="1" applyAlignment="1" applyProtection="1">
      <alignment vertical="center"/>
    </xf>
    <xf numFmtId="0" fontId="37" fillId="23" borderId="45" xfId="0" applyFont="1" applyFill="1" applyBorder="1" applyProtection="1"/>
    <xf numFmtId="0" fontId="37" fillId="23" borderId="49" xfId="0" applyFont="1" applyFill="1" applyBorder="1" applyProtection="1"/>
    <xf numFmtId="0" fontId="43" fillId="23" borderId="45" xfId="0" applyFont="1" applyFill="1" applyBorder="1" applyProtection="1"/>
    <xf numFmtId="0" fontId="43" fillId="23" borderId="41" xfId="0" applyFont="1" applyFill="1" applyBorder="1" applyProtection="1"/>
    <xf numFmtId="0" fontId="37" fillId="23" borderId="48" xfId="0" applyFont="1" applyFill="1" applyBorder="1" applyAlignment="1" applyProtection="1">
      <alignment vertical="center"/>
    </xf>
    <xf numFmtId="0" fontId="40" fillId="23" borderId="45" xfId="0" applyFont="1" applyFill="1" applyBorder="1" applyProtection="1"/>
    <xf numFmtId="0" fontId="40" fillId="23" borderId="41" xfId="0" applyFont="1" applyFill="1" applyBorder="1" applyAlignment="1" applyProtection="1">
      <alignment vertical="center"/>
    </xf>
    <xf numFmtId="0" fontId="40" fillId="23" borderId="41" xfId="0" applyFont="1" applyFill="1" applyBorder="1" applyProtection="1"/>
    <xf numFmtId="0" fontId="40" fillId="23" borderId="49" xfId="0" applyFont="1" applyFill="1" applyBorder="1" applyProtection="1"/>
    <xf numFmtId="0" fontId="40" fillId="23" borderId="40" xfId="0" applyFont="1" applyFill="1" applyBorder="1" applyAlignment="1" applyProtection="1">
      <alignment vertical="center"/>
    </xf>
    <xf numFmtId="0" fontId="40" fillId="23" borderId="20" xfId="0" applyFont="1" applyFill="1" applyBorder="1" applyAlignment="1" applyProtection="1">
      <alignment vertical="center"/>
    </xf>
    <xf numFmtId="0" fontId="40" fillId="23" borderId="22" xfId="0" applyFont="1" applyFill="1" applyBorder="1" applyAlignment="1" applyProtection="1">
      <alignment vertical="center"/>
    </xf>
    <xf numFmtId="0" fontId="40" fillId="24" borderId="14" xfId="0" applyFont="1" applyFill="1" applyBorder="1" applyAlignment="1" applyProtection="1">
      <alignment vertical="center"/>
    </xf>
    <xf numFmtId="0" fontId="40" fillId="23" borderId="48" xfId="0" applyFont="1" applyFill="1" applyBorder="1" applyProtection="1"/>
    <xf numFmtId="0" fontId="40" fillId="23" borderId="48" xfId="0" applyFont="1" applyFill="1" applyBorder="1" applyAlignment="1" applyProtection="1">
      <alignment vertical="center"/>
    </xf>
    <xf numFmtId="0" fontId="40" fillId="23" borderId="40" xfId="0" applyFont="1" applyFill="1" applyBorder="1" applyProtection="1"/>
    <xf numFmtId="0" fontId="40" fillId="23" borderId="49" xfId="0" applyFont="1" applyFill="1" applyBorder="1" applyAlignment="1" applyProtection="1">
      <alignment vertical="center"/>
    </xf>
    <xf numFmtId="3" fontId="0" fillId="0" borderId="4" xfId="0" applyNumberFormat="1" applyBorder="1"/>
    <xf numFmtId="3" fontId="40" fillId="3" borderId="2" xfId="0" applyNumberFormat="1" applyFont="1" applyFill="1" applyBorder="1" applyAlignment="1" applyProtection="1">
      <alignment horizontal="left"/>
      <protection locked="0"/>
    </xf>
    <xf numFmtId="0" fontId="37" fillId="25" borderId="6" xfId="0" applyFont="1" applyFill="1" applyBorder="1" applyAlignment="1" applyProtection="1">
      <alignment vertical="center"/>
    </xf>
    <xf numFmtId="0" fontId="37" fillId="25" borderId="41" xfId="0" applyFont="1" applyFill="1" applyBorder="1" applyProtection="1"/>
    <xf numFmtId="0" fontId="37" fillId="3" borderId="2" xfId="0" applyFont="1" applyFill="1" applyBorder="1" applyAlignment="1" applyProtection="1">
      <alignment horizontal="center"/>
      <protection locked="0"/>
    </xf>
    <xf numFmtId="0" fontId="4" fillId="0" borderId="10" xfId="0" applyFont="1" applyFill="1" applyBorder="1" applyProtection="1"/>
    <xf numFmtId="0" fontId="6" fillId="0" borderId="10" xfId="0" applyFont="1" applyBorder="1" applyAlignment="1" applyProtection="1"/>
    <xf numFmtId="39" fontId="40" fillId="13" borderId="2" xfId="0" applyNumberFormat="1" applyFont="1" applyFill="1" applyBorder="1" applyProtection="1"/>
    <xf numFmtId="0" fontId="124" fillId="0" borderId="0" xfId="0" applyFont="1" applyBorder="1"/>
    <xf numFmtId="0" fontId="39" fillId="3" borderId="12" xfId="0" quotePrefix="1" applyFont="1" applyFill="1" applyBorder="1" applyAlignment="1" applyProtection="1">
      <alignment horizontal="left"/>
      <protection locked="0"/>
    </xf>
    <xf numFmtId="3" fontId="39" fillId="3" borderId="12" xfId="0" applyNumberFormat="1" applyFont="1" applyFill="1" applyBorder="1" applyProtection="1">
      <protection locked="0"/>
    </xf>
    <xf numFmtId="0" fontId="39" fillId="3" borderId="12" xfId="0" applyFont="1" applyFill="1" applyBorder="1" applyProtection="1">
      <protection locked="0"/>
    </xf>
    <xf numFmtId="0" fontId="39" fillId="3" borderId="2" xfId="0" applyFont="1" applyFill="1" applyBorder="1" applyAlignment="1" applyProtection="1">
      <alignment vertical="center"/>
      <protection locked="0"/>
    </xf>
    <xf numFmtId="2" fontId="39" fillId="3" borderId="2" xfId="0" applyNumberFormat="1" applyFont="1" applyFill="1" applyBorder="1" applyAlignment="1" applyProtection="1">
      <alignment vertical="center"/>
      <protection locked="0"/>
    </xf>
    <xf numFmtId="0" fontId="39" fillId="3" borderId="2" xfId="0" quotePrefix="1" applyFont="1" applyFill="1" applyBorder="1" applyAlignment="1" applyProtection="1">
      <alignment horizontal="left"/>
      <protection locked="0"/>
    </xf>
    <xf numFmtId="2" fontId="39" fillId="3" borderId="2" xfId="0" applyNumberFormat="1" applyFont="1" applyFill="1" applyBorder="1" applyProtection="1">
      <protection locked="0"/>
    </xf>
    <xf numFmtId="0" fontId="39" fillId="3" borderId="2" xfId="0" applyFont="1" applyFill="1" applyBorder="1" applyProtection="1">
      <protection locked="0"/>
    </xf>
    <xf numFmtId="0" fontId="39" fillId="3" borderId="3" xfId="0" applyFont="1" applyFill="1" applyBorder="1" applyProtection="1">
      <protection locked="0"/>
    </xf>
    <xf numFmtId="3" fontId="39" fillId="3" borderId="3" xfId="0" applyNumberFormat="1" applyFont="1" applyFill="1" applyBorder="1" applyProtection="1">
      <protection locked="0"/>
    </xf>
    <xf numFmtId="0" fontId="40" fillId="17" borderId="2" xfId="0" applyFont="1" applyFill="1" applyBorder="1" applyAlignment="1" applyProtection="1">
      <alignment vertical="center"/>
      <protection locked="0"/>
    </xf>
    <xf numFmtId="0" fontId="3" fillId="3" borderId="118" xfId="0" applyFont="1" applyFill="1" applyBorder="1" applyAlignment="1">
      <alignment horizontal="center"/>
    </xf>
    <xf numFmtId="2" fontId="40" fillId="17" borderId="2" xfId="0" applyNumberFormat="1" applyFont="1" applyFill="1" applyBorder="1" applyAlignment="1" applyProtection="1">
      <alignment horizontal="right" vertical="center"/>
      <protection locked="0"/>
    </xf>
    <xf numFmtId="2" fontId="40" fillId="17" borderId="9" xfId="0" applyNumberFormat="1" applyFont="1" applyFill="1" applyBorder="1" applyAlignment="1" applyProtection="1">
      <alignment horizontal="right" vertical="center"/>
      <protection locked="0"/>
    </xf>
    <xf numFmtId="0" fontId="31" fillId="0" borderId="0" xfId="0" applyFont="1" applyProtection="1"/>
    <xf numFmtId="0" fontId="30" fillId="0" borderId="10" xfId="0" applyFont="1" applyBorder="1" applyAlignment="1" applyProtection="1">
      <alignment horizontal="left"/>
    </xf>
    <xf numFmtId="0" fontId="30" fillId="0" borderId="0" xfId="0" applyFont="1" applyAlignment="1" applyProtection="1">
      <alignment horizontal="left"/>
    </xf>
    <xf numFmtId="3" fontId="30" fillId="0" borderId="0" xfId="0" applyNumberFormat="1" applyFont="1" applyAlignment="1" applyProtection="1">
      <alignment horizontal="left"/>
    </xf>
    <xf numFmtId="3" fontId="30" fillId="0" borderId="0" xfId="0" applyNumberFormat="1" applyFont="1" applyProtection="1"/>
    <xf numFmtId="49" fontId="31" fillId="0" borderId="0" xfId="0" applyNumberFormat="1" applyFont="1" applyAlignment="1" applyProtection="1">
      <alignment horizontal="left" vertical="center"/>
    </xf>
    <xf numFmtId="0" fontId="31" fillId="0" borderId="0" xfId="0" applyFont="1" applyAlignment="1" applyProtection="1">
      <alignment vertical="center"/>
    </xf>
    <xf numFmtId="3" fontId="30" fillId="0" borderId="0" xfId="0" applyNumberFormat="1" applyFont="1" applyAlignment="1" applyProtection="1">
      <alignment vertical="center"/>
    </xf>
    <xf numFmtId="0" fontId="37" fillId="0" borderId="10" xfId="0" applyFont="1" applyBorder="1" applyAlignment="1" applyProtection="1">
      <alignment horizontal="left"/>
    </xf>
    <xf numFmtId="3" fontId="30" fillId="0" borderId="0" xfId="0" quotePrefix="1" applyNumberFormat="1" applyFont="1" applyAlignment="1" applyProtection="1">
      <alignment vertical="center"/>
    </xf>
    <xf numFmtId="0" fontId="37" fillId="0" borderId="5" xfId="0" applyFont="1" applyBorder="1" applyProtection="1"/>
    <xf numFmtId="0" fontId="39" fillId="0" borderId="7" xfId="0" applyFont="1" applyBorder="1" applyProtection="1"/>
    <xf numFmtId="0" fontId="39" fillId="0" borderId="5" xfId="0" applyFont="1" applyBorder="1" applyAlignment="1" applyProtection="1">
      <alignment horizontal="left"/>
    </xf>
    <xf numFmtId="3" fontId="39" fillId="0" borderId="7" xfId="0" applyNumberFormat="1" applyFont="1" applyBorder="1" applyAlignment="1" applyProtection="1">
      <alignment horizontal="left"/>
    </xf>
    <xf numFmtId="3" fontId="39" fillId="0" borderId="7" xfId="0" applyNumberFormat="1" applyFont="1" applyBorder="1" applyProtection="1"/>
    <xf numFmtId="0" fontId="37" fillId="0" borderId="6" xfId="0" applyFont="1" applyBorder="1" applyProtection="1"/>
    <xf numFmtId="0" fontId="41" fillId="0" borderId="1" xfId="0" applyFont="1" applyBorder="1" applyAlignment="1" applyProtection="1">
      <alignment vertical="center"/>
    </xf>
    <xf numFmtId="0" fontId="42" fillId="0" borderId="2" xfId="0" applyFont="1" applyBorder="1" applyAlignment="1" applyProtection="1">
      <alignment vertical="center"/>
    </xf>
    <xf numFmtId="0" fontId="42" fillId="0" borderId="4" xfId="0" applyFont="1" applyBorder="1" applyAlignment="1" applyProtection="1">
      <alignment vertical="center"/>
    </xf>
    <xf numFmtId="0" fontId="35" fillId="0" borderId="1" xfId="0" applyFont="1" applyBorder="1" applyAlignment="1" applyProtection="1">
      <alignment horizontal="left" vertical="center"/>
    </xf>
    <xf numFmtId="0" fontId="35" fillId="0" borderId="2" xfId="0" applyFont="1" applyBorder="1" applyAlignment="1" applyProtection="1">
      <alignment horizontal="left" vertical="center"/>
    </xf>
    <xf numFmtId="3" fontId="35" fillId="0" borderId="2" xfId="0" applyNumberFormat="1" applyFont="1" applyBorder="1" applyAlignment="1" applyProtection="1">
      <alignment horizontal="left" vertical="center"/>
    </xf>
    <xf numFmtId="0" fontId="35" fillId="0" borderId="2" xfId="0" applyFont="1" applyBorder="1" applyAlignment="1" applyProtection="1">
      <alignment vertical="center"/>
    </xf>
    <xf numFmtId="0" fontId="37" fillId="0" borderId="41" xfId="0" applyFont="1" applyBorder="1" applyAlignment="1" applyProtection="1">
      <alignment vertical="center"/>
    </xf>
    <xf numFmtId="0" fontId="42" fillId="0" borderId="1" xfId="0" applyFont="1" applyBorder="1" applyAlignment="1" applyProtection="1">
      <alignment vertical="center"/>
    </xf>
    <xf numFmtId="0" fontId="41" fillId="0" borderId="2" xfId="0" applyFont="1" applyBorder="1" applyAlignment="1" applyProtection="1">
      <alignment vertical="center"/>
    </xf>
    <xf numFmtId="0" fontId="57" fillId="0" borderId="1" xfId="0" applyFont="1" applyBorder="1" applyAlignment="1" applyProtection="1">
      <alignment horizontal="center" vertical="center"/>
    </xf>
    <xf numFmtId="3" fontId="57" fillId="0" borderId="2" xfId="0" applyNumberFormat="1" applyFont="1" applyBorder="1" applyAlignment="1" applyProtection="1">
      <alignment horizontal="center" vertical="center"/>
    </xf>
    <xf numFmtId="0" fontId="57" fillId="0" borderId="2" xfId="0" applyFont="1" applyBorder="1" applyAlignment="1" applyProtection="1">
      <alignment horizontal="center" vertical="center"/>
    </xf>
    <xf numFmtId="0" fontId="57" fillId="0" borderId="2" xfId="0" applyFont="1" applyBorder="1" applyAlignment="1" applyProtection="1">
      <alignment horizontal="right" vertical="center"/>
    </xf>
    <xf numFmtId="0" fontId="121" fillId="0" borderId="41" xfId="0" applyFont="1" applyBorder="1" applyAlignment="1" applyProtection="1">
      <alignment horizontal="right" vertical="center"/>
    </xf>
    <xf numFmtId="0" fontId="42" fillId="0" borderId="8" xfId="0" applyFont="1" applyBorder="1" applyAlignment="1" applyProtection="1">
      <alignment vertical="center"/>
    </xf>
    <xf numFmtId="0" fontId="42" fillId="0" borderId="9" xfId="0" applyFont="1" applyBorder="1" applyAlignment="1" applyProtection="1">
      <alignment vertical="center"/>
    </xf>
    <xf numFmtId="0" fontId="41" fillId="0" borderId="37" xfId="0" applyFont="1" applyBorder="1" applyAlignment="1" applyProtection="1">
      <alignment vertical="center"/>
    </xf>
    <xf numFmtId="0" fontId="35" fillId="0" borderId="8" xfId="0" applyFont="1" applyBorder="1" applyAlignment="1" applyProtection="1">
      <alignment vertical="center"/>
    </xf>
    <xf numFmtId="3" fontId="35" fillId="0" borderId="9" xfId="0" applyNumberFormat="1" applyFont="1" applyBorder="1" applyAlignment="1" applyProtection="1">
      <alignment vertical="center"/>
    </xf>
    <xf numFmtId="3" fontId="39" fillId="0" borderId="9" xfId="0" applyNumberFormat="1" applyFont="1" applyBorder="1" applyProtection="1"/>
    <xf numFmtId="0" fontId="35" fillId="0" borderId="9" xfId="0" applyFont="1" applyBorder="1" applyAlignment="1" applyProtection="1">
      <alignment vertical="center"/>
    </xf>
    <xf numFmtId="0" fontId="37" fillId="0" borderId="48" xfId="0" applyFont="1" applyBorder="1" applyAlignment="1" applyProtection="1">
      <alignment vertical="center"/>
    </xf>
    <xf numFmtId="0" fontId="37" fillId="0" borderId="8" xfId="0" applyFont="1" applyBorder="1" applyProtection="1"/>
    <xf numFmtId="0" fontId="39" fillId="4" borderId="52" xfId="0" applyFont="1" applyFill="1" applyBorder="1" applyProtection="1"/>
    <xf numFmtId="3" fontId="39" fillId="4" borderId="52" xfId="0" applyNumberFormat="1" applyFont="1" applyFill="1" applyBorder="1" applyProtection="1"/>
    <xf numFmtId="2" fontId="39" fillId="4" borderId="52" xfId="0" applyNumberFormat="1" applyFont="1" applyFill="1" applyBorder="1" applyProtection="1"/>
    <xf numFmtId="2" fontId="39" fillId="4" borderId="52" xfId="0" applyNumberFormat="1" applyFont="1" applyFill="1" applyBorder="1" applyAlignment="1" applyProtection="1">
      <alignment horizontal="right"/>
    </xf>
    <xf numFmtId="0" fontId="37" fillId="21" borderId="107" xfId="0" applyFont="1" applyFill="1" applyBorder="1" applyAlignment="1" applyProtection="1">
      <alignment vertical="center"/>
    </xf>
    <xf numFmtId="2" fontId="45" fillId="0" borderId="0" xfId="0" applyNumberFormat="1" applyFont="1" applyAlignment="1" applyProtection="1">
      <alignment horizontal="left"/>
    </xf>
    <xf numFmtId="2" fontId="51" fillId="0" borderId="0" xfId="0" applyNumberFormat="1" applyFont="1" applyProtection="1"/>
    <xf numFmtId="0" fontId="39" fillId="0" borderId="0" xfId="0" applyFont="1" applyAlignment="1" applyProtection="1">
      <alignment vertical="center"/>
    </xf>
    <xf numFmtId="0" fontId="39" fillId="0" borderId="5" xfId="0" applyFont="1" applyBorder="1" applyProtection="1"/>
    <xf numFmtId="0" fontId="39" fillId="4" borderId="12" xfId="0" applyFont="1" applyFill="1" applyBorder="1" applyAlignment="1" applyProtection="1">
      <alignment vertical="center"/>
    </xf>
    <xf numFmtId="3" fontId="39" fillId="4" borderId="12" xfId="0" applyNumberFormat="1" applyFont="1" applyFill="1" applyBorder="1" applyAlignment="1" applyProtection="1">
      <alignment vertical="center"/>
    </xf>
    <xf numFmtId="0" fontId="37" fillId="21" borderId="22" xfId="0" applyFont="1" applyFill="1" applyBorder="1" applyAlignment="1" applyProtection="1">
      <alignment vertical="center"/>
    </xf>
    <xf numFmtId="2" fontId="45" fillId="0" borderId="0" xfId="0" quotePrefix="1" applyNumberFormat="1" applyFont="1" applyAlignment="1" applyProtection="1">
      <alignment horizontal="left"/>
    </xf>
    <xf numFmtId="3" fontId="51" fillId="0" borderId="0" xfId="0" applyNumberFormat="1" applyFont="1" applyProtection="1"/>
    <xf numFmtId="0" fontId="39" fillId="0" borderId="1" xfId="0" applyFont="1" applyBorder="1" applyProtection="1"/>
    <xf numFmtId="0" fontId="39" fillId="21" borderId="45" xfId="0" applyFont="1" applyFill="1" applyBorder="1" applyProtection="1"/>
    <xf numFmtId="0" fontId="37" fillId="0" borderId="1" xfId="0" applyFont="1" applyBorder="1" applyAlignment="1" applyProtection="1">
      <alignment vertical="center"/>
    </xf>
    <xf numFmtId="0" fontId="39" fillId="21" borderId="41" xfId="0" applyFont="1" applyFill="1" applyBorder="1" applyAlignment="1" applyProtection="1">
      <alignment vertical="center"/>
    </xf>
    <xf numFmtId="2" fontId="45" fillId="0" borderId="0" xfId="0" applyNumberFormat="1" applyFont="1" applyAlignment="1" applyProtection="1">
      <alignment horizontal="left" vertical="center"/>
    </xf>
    <xf numFmtId="2" fontId="51" fillId="0" borderId="0" xfId="0" applyNumberFormat="1" applyFont="1" applyAlignment="1" applyProtection="1">
      <alignment vertical="center"/>
    </xf>
    <xf numFmtId="0" fontId="39" fillId="21" borderId="41" xfId="0" applyFont="1" applyFill="1" applyBorder="1" applyProtection="1"/>
    <xf numFmtId="2" fontId="51" fillId="0" borderId="0" xfId="0" quotePrefix="1" applyNumberFormat="1" applyFont="1" applyAlignment="1" applyProtection="1">
      <alignment horizontal="left"/>
    </xf>
    <xf numFmtId="2" fontId="51" fillId="0" borderId="0" xfId="0" quotePrefix="1" applyNumberFormat="1" applyFont="1" applyAlignment="1" applyProtection="1">
      <alignment horizontal="left" wrapText="1"/>
    </xf>
    <xf numFmtId="0" fontId="51" fillId="0" borderId="0" xfId="0" applyFont="1" applyProtection="1"/>
    <xf numFmtId="0" fontId="39" fillId="21" borderId="49" xfId="0" applyFont="1" applyFill="1" applyBorder="1" applyProtection="1"/>
    <xf numFmtId="0" fontId="39" fillId="21" borderId="24" xfId="0" applyFont="1" applyFill="1" applyBorder="1" applyAlignment="1" applyProtection="1">
      <alignment vertical="center"/>
    </xf>
    <xf numFmtId="3" fontId="39" fillId="21" borderId="24" xfId="0" applyNumberFormat="1" applyFont="1" applyFill="1" applyBorder="1" applyAlignment="1" applyProtection="1">
      <alignment vertical="center"/>
    </xf>
    <xf numFmtId="0" fontId="39" fillId="21" borderId="40" xfId="0" applyFont="1" applyFill="1" applyBorder="1" applyAlignment="1" applyProtection="1">
      <alignment vertical="center"/>
    </xf>
    <xf numFmtId="0" fontId="39" fillId="21" borderId="0" xfId="0" applyFont="1" applyFill="1" applyAlignment="1" applyProtection="1">
      <alignment vertical="center"/>
    </xf>
    <xf numFmtId="0" fontId="39" fillId="21" borderId="18" xfId="0" applyFont="1" applyFill="1" applyBorder="1" applyAlignment="1" applyProtection="1">
      <alignment vertical="center"/>
    </xf>
    <xf numFmtId="3" fontId="39" fillId="21" borderId="18" xfId="0" applyNumberFormat="1" applyFont="1" applyFill="1" applyBorder="1" applyAlignment="1" applyProtection="1">
      <alignment vertical="center"/>
    </xf>
    <xf numFmtId="0" fontId="39" fillId="21" borderId="20" xfId="0" applyFont="1" applyFill="1" applyBorder="1" applyAlignment="1" applyProtection="1">
      <alignment vertical="center"/>
    </xf>
    <xf numFmtId="3" fontId="39" fillId="21" borderId="0" xfId="0" applyNumberFormat="1" applyFont="1" applyFill="1" applyAlignment="1" applyProtection="1">
      <alignment vertical="center"/>
    </xf>
    <xf numFmtId="3" fontId="125" fillId="21" borderId="0" xfId="0" applyNumberFormat="1" applyFont="1" applyFill="1" applyAlignment="1" applyProtection="1">
      <alignment vertical="center"/>
    </xf>
    <xf numFmtId="0" fontId="126" fillId="21" borderId="0" xfId="0" applyFont="1" applyFill="1" applyProtection="1"/>
    <xf numFmtId="3" fontId="125" fillId="0" borderId="0" xfId="0" applyNumberFormat="1" applyFont="1" applyAlignment="1" applyProtection="1">
      <alignment vertical="center"/>
    </xf>
    <xf numFmtId="3" fontId="39" fillId="0" borderId="53" xfId="0" applyNumberFormat="1" applyFont="1" applyBorder="1" applyAlignment="1" applyProtection="1">
      <alignment vertical="center"/>
    </xf>
    <xf numFmtId="3" fontId="39" fillId="0" borderId="52" xfId="0" applyNumberFormat="1" applyFont="1" applyBorder="1" applyAlignment="1" applyProtection="1">
      <alignment horizontal="right" vertical="center"/>
    </xf>
    <xf numFmtId="39" fontId="39" fillId="14" borderId="21" xfId="0" applyNumberFormat="1" applyFont="1" applyFill="1" applyBorder="1" applyProtection="1"/>
    <xf numFmtId="0" fontId="39" fillId="21" borderId="22" xfId="0" applyFont="1" applyFill="1" applyBorder="1" applyAlignment="1" applyProtection="1">
      <alignment vertical="center"/>
    </xf>
    <xf numFmtId="3" fontId="39" fillId="8" borderId="13" xfId="0" applyNumberFormat="1" applyFont="1" applyFill="1" applyBorder="1" applyAlignment="1" applyProtection="1">
      <alignment vertical="center"/>
    </xf>
    <xf numFmtId="3" fontId="39" fillId="8" borderId="15" xfId="0" applyNumberFormat="1" applyFont="1" applyFill="1" applyBorder="1" applyAlignment="1" applyProtection="1">
      <alignment vertical="center"/>
    </xf>
    <xf numFmtId="0" fontId="39" fillId="26" borderId="14" xfId="0" applyFont="1" applyFill="1" applyBorder="1" applyAlignment="1" applyProtection="1">
      <alignment vertical="center"/>
    </xf>
    <xf numFmtId="0" fontId="2" fillId="0" borderId="2" xfId="0" applyFont="1" applyBorder="1" applyAlignment="1" applyProtection="1">
      <alignment horizontal="right" vertical="center"/>
    </xf>
    <xf numFmtId="14" fontId="4" fillId="3" borderId="20" xfId="0" applyNumberFormat="1" applyFont="1" applyFill="1" applyBorder="1" applyProtection="1">
      <protection locked="0"/>
    </xf>
    <xf numFmtId="0" fontId="0" fillId="11" borderId="69" xfId="0" applyFill="1" applyBorder="1" applyAlignment="1" applyProtection="1">
      <alignment horizontal="center" vertical="top" wrapText="1"/>
    </xf>
    <xf numFmtId="0" fontId="0" fillId="11" borderId="100" xfId="0" applyFill="1" applyBorder="1" applyAlignment="1" applyProtection="1">
      <alignment horizontal="center" vertical="top" wrapText="1"/>
    </xf>
    <xf numFmtId="0" fontId="6" fillId="0" borderId="10" xfId="0" applyFont="1" applyBorder="1" applyAlignment="1" applyProtection="1">
      <alignment horizontal="center"/>
    </xf>
    <xf numFmtId="0" fontId="6" fillId="0" borderId="0" xfId="0" applyFont="1" applyBorder="1" applyAlignment="1" applyProtection="1">
      <alignment horizontal="center"/>
    </xf>
    <xf numFmtId="0" fontId="6" fillId="0" borderId="22" xfId="0" applyFont="1" applyBorder="1" applyAlignment="1" applyProtection="1">
      <alignment horizontal="center"/>
    </xf>
    <xf numFmtId="0" fontId="7" fillId="3" borderId="35" xfId="0" applyFont="1" applyFill="1" applyBorder="1" applyAlignment="1" applyProtection="1">
      <alignment horizontal="center"/>
      <protection locked="0"/>
    </xf>
    <xf numFmtId="0" fontId="7" fillId="3" borderId="58" xfId="0" applyFont="1" applyFill="1" applyBorder="1" applyAlignment="1" applyProtection="1">
      <alignment horizontal="center"/>
      <protection locked="0"/>
    </xf>
    <xf numFmtId="0" fontId="7" fillId="3" borderId="59" xfId="0" applyFont="1" applyFill="1" applyBorder="1" applyAlignment="1" applyProtection="1">
      <alignment horizontal="center"/>
      <protection locked="0"/>
    </xf>
    <xf numFmtId="0" fontId="5" fillId="3" borderId="21" xfId="0" applyFont="1"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4" fillId="11" borderId="107" xfId="0" applyFont="1" applyFill="1" applyBorder="1" applyAlignment="1" applyProtection="1">
      <alignment horizontal="center" vertical="top" wrapText="1"/>
    </xf>
    <xf numFmtId="0" fontId="4" fillId="11" borderId="69" xfId="0" applyFont="1" applyFill="1" applyBorder="1" applyAlignment="1" applyProtection="1">
      <alignment horizontal="center" vertical="top" wrapText="1"/>
    </xf>
    <xf numFmtId="0" fontId="5" fillId="3" borderId="4"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protection locked="0"/>
    </xf>
    <xf numFmtId="0" fontId="20" fillId="11" borderId="0" xfId="0" applyNumberFormat="1" applyFont="1" applyFill="1" applyAlignment="1" applyProtection="1">
      <alignment horizontal="left" vertical="top" wrapText="1"/>
      <protection locked="0"/>
    </xf>
    <xf numFmtId="0" fontId="0" fillId="11" borderId="19" xfId="0" applyFill="1" applyBorder="1" applyAlignment="1" applyProtection="1">
      <alignment horizontal="left" vertical="top" wrapText="1"/>
      <protection locked="0"/>
    </xf>
    <xf numFmtId="0" fontId="0" fillId="11" borderId="20" xfId="0" applyFill="1" applyBorder="1" applyAlignment="1" applyProtection="1">
      <alignment horizontal="left" vertical="top" wrapText="1"/>
      <protection locked="0"/>
    </xf>
    <xf numFmtId="0" fontId="0" fillId="11" borderId="25" xfId="0" applyFill="1" applyBorder="1" applyAlignment="1" applyProtection="1">
      <alignment horizontal="left" vertical="top" wrapText="1"/>
      <protection locked="0"/>
    </xf>
    <xf numFmtId="0" fontId="0" fillId="11" borderId="40" xfId="0" applyFill="1" applyBorder="1" applyAlignment="1" applyProtection="1">
      <alignment horizontal="left" vertical="top" wrapText="1"/>
      <protection locked="0"/>
    </xf>
    <xf numFmtId="175" fontId="128" fillId="0" borderId="17" xfId="0" applyNumberFormat="1" applyFont="1" applyBorder="1" applyAlignment="1" applyProtection="1">
      <alignment horizontal="center" vertical="center"/>
    </xf>
    <xf numFmtId="175" fontId="128" fillId="0" borderId="18" xfId="0" applyNumberFormat="1" applyFont="1" applyBorder="1" applyAlignment="1" applyProtection="1">
      <alignment horizontal="center" vertical="center"/>
    </xf>
    <xf numFmtId="175" fontId="128" fillId="0" borderId="20" xfId="0" applyNumberFormat="1" applyFont="1" applyBorder="1" applyAlignment="1" applyProtection="1">
      <alignment horizontal="center" vertical="center"/>
    </xf>
    <xf numFmtId="175" fontId="128" fillId="0" borderId="10" xfId="0" applyNumberFormat="1" applyFont="1" applyBorder="1" applyAlignment="1" applyProtection="1">
      <alignment horizontal="center" vertical="center"/>
    </xf>
    <xf numFmtId="175" fontId="128" fillId="0" borderId="0" xfId="0" applyNumberFormat="1" applyFont="1" applyBorder="1" applyAlignment="1" applyProtection="1">
      <alignment horizontal="center" vertical="center"/>
    </xf>
    <xf numFmtId="175" fontId="128" fillId="0" borderId="22" xfId="0" applyNumberFormat="1" applyFont="1" applyBorder="1" applyAlignment="1" applyProtection="1">
      <alignment horizontal="center" vertical="center"/>
    </xf>
    <xf numFmtId="175" fontId="128" fillId="0" borderId="23" xfId="0" applyNumberFormat="1" applyFont="1" applyBorder="1" applyAlignment="1" applyProtection="1">
      <alignment horizontal="center" vertical="center"/>
    </xf>
    <xf numFmtId="175" fontId="128" fillId="0" borderId="24" xfId="0" applyNumberFormat="1" applyFont="1" applyBorder="1" applyAlignment="1" applyProtection="1">
      <alignment horizontal="center" vertical="center"/>
    </xf>
    <xf numFmtId="175" fontId="128" fillId="0" borderId="40" xfId="0" applyNumberFormat="1" applyFont="1" applyBorder="1" applyAlignment="1" applyProtection="1">
      <alignment horizontal="center" vertical="center"/>
    </xf>
    <xf numFmtId="0" fontId="26" fillId="0" borderId="0" xfId="0" applyFont="1" applyAlignment="1" applyProtection="1">
      <alignment horizontal="center"/>
    </xf>
    <xf numFmtId="169" fontId="49" fillId="2" borderId="49" xfId="1" applyNumberFormat="1" applyFont="1" applyFill="1" applyBorder="1" applyAlignment="1" applyProtection="1">
      <alignment horizontal="center" vertical="center" wrapText="1"/>
      <protection locked="0"/>
    </xf>
    <xf numFmtId="169" fontId="49" fillId="2" borderId="69" xfId="1" applyNumberFormat="1" applyFont="1" applyFill="1" applyBorder="1" applyAlignment="1" applyProtection="1">
      <alignment horizontal="center" vertical="center" wrapText="1"/>
      <protection locked="0"/>
    </xf>
    <xf numFmtId="169" fontId="49" fillId="2" borderId="100" xfId="1" applyNumberFormat="1"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40" xfId="0" applyFont="1" applyBorder="1" applyAlignment="1" applyProtection="1">
      <alignment horizontal="center" vertical="center"/>
    </xf>
    <xf numFmtId="0" fontId="0" fillId="11" borderId="21" xfId="0" applyFill="1" applyBorder="1" applyAlignment="1" applyProtection="1">
      <alignment horizontal="left" vertical="top" wrapText="1"/>
      <protection locked="0"/>
    </xf>
    <xf numFmtId="0" fontId="0" fillId="11" borderId="22" xfId="0" applyFill="1" applyBorder="1" applyAlignment="1" applyProtection="1">
      <alignment horizontal="left" vertical="top" wrapText="1"/>
      <protection locked="0"/>
    </xf>
    <xf numFmtId="0" fontId="129" fillId="0" borderId="0" xfId="0" applyFont="1" applyFill="1" applyAlignment="1" applyProtection="1">
      <alignment horizontal="center"/>
    </xf>
    <xf numFmtId="167" fontId="15" fillId="0" borderId="10" xfId="0" applyNumberFormat="1" applyFont="1" applyBorder="1" applyAlignment="1" applyProtection="1">
      <alignment horizontal="center" vertical="center"/>
    </xf>
    <xf numFmtId="0" fontId="20" fillId="0" borderId="0" xfId="0" applyFont="1" applyBorder="1" applyAlignment="1" applyProtection="1">
      <alignment vertical="center"/>
    </xf>
    <xf numFmtId="0" fontId="20" fillId="0" borderId="53" xfId="0" applyFont="1" applyBorder="1" applyAlignment="1" applyProtection="1">
      <alignment vertical="center"/>
    </xf>
    <xf numFmtId="167" fontId="20" fillId="0" borderId="10" xfId="0" applyNumberFormat="1" applyFont="1" applyBorder="1" applyAlignment="1" applyProtection="1">
      <alignment horizontal="center" vertical="center"/>
    </xf>
    <xf numFmtId="167" fontId="0" fillId="11" borderId="0" xfId="0" applyNumberFormat="1" applyFill="1" applyAlignment="1" applyProtection="1">
      <alignment horizontal="left" vertical="top" wrapText="1"/>
      <protection locked="0"/>
    </xf>
    <xf numFmtId="0" fontId="0" fillId="11" borderId="0" xfId="0" applyFill="1" applyAlignment="1" applyProtection="1">
      <alignment horizontal="left" vertical="top" wrapText="1"/>
      <protection locked="0"/>
    </xf>
    <xf numFmtId="167" fontId="127" fillId="0" borderId="46" xfId="0" applyNumberFormat="1" applyFont="1" applyBorder="1" applyAlignment="1" applyProtection="1">
      <alignment horizontal="center" vertical="center"/>
    </xf>
    <xf numFmtId="167" fontId="127" fillId="0" borderId="33" xfId="0" applyNumberFormat="1" applyFont="1" applyBorder="1" applyAlignment="1" applyProtection="1">
      <alignment horizontal="center" vertical="center"/>
    </xf>
    <xf numFmtId="167" fontId="127" fillId="0" borderId="91" xfId="0" applyNumberFormat="1" applyFont="1" applyBorder="1" applyAlignment="1" applyProtection="1">
      <alignment horizontal="center" vertical="center"/>
    </xf>
    <xf numFmtId="167" fontId="127" fillId="0" borderId="21" xfId="0" applyNumberFormat="1" applyFont="1" applyBorder="1" applyAlignment="1" applyProtection="1">
      <alignment horizontal="center" vertical="center"/>
    </xf>
    <xf numFmtId="167" fontId="127" fillId="0" borderId="0" xfId="0" applyNumberFormat="1" applyFont="1" applyBorder="1" applyAlignment="1" applyProtection="1">
      <alignment horizontal="center" vertical="center"/>
    </xf>
    <xf numFmtId="167" fontId="127" fillId="0" borderId="53" xfId="0" applyNumberFormat="1" applyFont="1" applyBorder="1" applyAlignment="1" applyProtection="1">
      <alignment horizontal="center" vertical="center"/>
    </xf>
    <xf numFmtId="167" fontId="127" fillId="0" borderId="39" xfId="0" applyNumberFormat="1" applyFont="1" applyBorder="1" applyAlignment="1" applyProtection="1">
      <alignment horizontal="center" vertical="center"/>
    </xf>
    <xf numFmtId="167" fontId="127" fillId="0" borderId="28" xfId="0" applyNumberFormat="1" applyFont="1" applyBorder="1" applyAlignment="1" applyProtection="1">
      <alignment horizontal="center" vertical="center"/>
    </xf>
    <xf numFmtId="167" fontId="127" fillId="0" borderId="72" xfId="0" applyNumberFormat="1" applyFont="1" applyBorder="1" applyAlignment="1" applyProtection="1">
      <alignment horizontal="center" vertical="center"/>
    </xf>
    <xf numFmtId="49" fontId="20" fillId="11" borderId="0" xfId="0" applyNumberFormat="1" applyFont="1" applyFill="1" applyAlignment="1" applyProtection="1">
      <alignment horizontal="left" vertical="top" wrapText="1"/>
      <protection locked="0"/>
    </xf>
    <xf numFmtId="0" fontId="31" fillId="0" borderId="10" xfId="0" quotePrefix="1" applyFont="1" applyBorder="1" applyAlignment="1">
      <alignment horizontal="center"/>
    </xf>
    <xf numFmtId="0" fontId="31" fillId="0" borderId="0" xfId="0" quotePrefix="1" applyFont="1" applyAlignment="1">
      <alignment horizontal="center"/>
    </xf>
    <xf numFmtId="0" fontId="31" fillId="0" borderId="10" xfId="0" applyFont="1" applyBorder="1" applyAlignment="1">
      <alignment horizontal="center"/>
    </xf>
    <xf numFmtId="0" fontId="31" fillId="0" borderId="0" xfId="0" applyFont="1" applyAlignment="1">
      <alignment horizontal="center"/>
    </xf>
    <xf numFmtId="0" fontId="38" fillId="11" borderId="0" xfId="0" applyNumberFormat="1" applyFont="1" applyFill="1" applyAlignment="1" applyProtection="1">
      <alignment horizontal="left" vertical="top" wrapText="1"/>
    </xf>
    <xf numFmtId="0" fontId="0" fillId="0" borderId="0" xfId="0" applyNumberFormat="1" applyAlignment="1" applyProtection="1">
      <alignment horizontal="left" vertical="top" wrapText="1"/>
    </xf>
    <xf numFmtId="0" fontId="0" fillId="0" borderId="0" xfId="0" applyNumberFormat="1" applyAlignment="1" applyProtection="1">
      <alignment wrapText="1"/>
    </xf>
    <xf numFmtId="0" fontId="31" fillId="0" borderId="10" xfId="0" quotePrefix="1" applyFont="1" applyBorder="1" applyAlignment="1" applyProtection="1">
      <alignment horizontal="center"/>
    </xf>
    <xf numFmtId="0" fontId="31" fillId="0" borderId="0" xfId="0" quotePrefix="1" applyFont="1" applyAlignment="1" applyProtection="1">
      <alignment horizontal="center"/>
    </xf>
    <xf numFmtId="0" fontId="31" fillId="0" borderId="10" xfId="0" applyFont="1" applyBorder="1" applyAlignment="1" applyProtection="1">
      <alignment horizontal="center"/>
    </xf>
    <xf numFmtId="0" fontId="31" fillId="0" borderId="0" xfId="0" applyFont="1" applyAlignment="1" applyProtection="1">
      <alignment horizontal="center"/>
    </xf>
    <xf numFmtId="0" fontId="31" fillId="0" borderId="17" xfId="0" quotePrefix="1" applyFont="1" applyBorder="1" applyAlignment="1">
      <alignment horizontal="center"/>
    </xf>
    <xf numFmtId="0" fontId="31" fillId="0" borderId="18" xfId="0" quotePrefix="1" applyFont="1" applyBorder="1" applyAlignment="1">
      <alignment horizontal="center"/>
    </xf>
    <xf numFmtId="0" fontId="37" fillId="11" borderId="0" xfId="0" applyFont="1" applyFill="1" applyAlignment="1">
      <alignment horizontal="center" vertical="top" wrapText="1"/>
    </xf>
    <xf numFmtId="0" fontId="38" fillId="11" borderId="0" xfId="0" applyFont="1" applyFill="1" applyAlignment="1" applyProtection="1">
      <alignment horizontal="left" vertical="top" wrapText="1"/>
      <protection locked="0"/>
    </xf>
    <xf numFmtId="0" fontId="0" fillId="11" borderId="67" xfId="0" applyFill="1" applyBorder="1" applyAlignment="1" applyProtection="1">
      <alignment horizontal="left" vertical="top" wrapText="1"/>
      <protection locked="0"/>
    </xf>
    <xf numFmtId="4" fontId="31" fillId="0" borderId="68" xfId="0" applyNumberFormat="1" applyFont="1" applyBorder="1" applyAlignment="1">
      <alignment horizontal="center"/>
    </xf>
    <xf numFmtId="0" fontId="7" fillId="0" borderId="0" xfId="0" applyFont="1" applyAlignment="1">
      <alignment horizont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24" fillId="0" borderId="58" xfId="0" applyFont="1" applyBorder="1" applyAlignment="1">
      <alignment horizontal="center"/>
    </xf>
    <xf numFmtId="0" fontId="24" fillId="0" borderId="59" xfId="0" applyFont="1" applyBorder="1" applyAlignment="1">
      <alignment horizontal="center"/>
    </xf>
    <xf numFmtId="0" fontId="24" fillId="0" borderId="128" xfId="0" applyFont="1" applyBorder="1" applyAlignment="1">
      <alignment horizontal="center"/>
    </xf>
    <xf numFmtId="0" fontId="24" fillId="0" borderId="140" xfId="0" applyFont="1" applyBorder="1" applyAlignment="1">
      <alignment horizontal="center"/>
    </xf>
    <xf numFmtId="14" fontId="76" fillId="2" borderId="58" xfId="0" applyNumberFormat="1" applyFont="1" applyFill="1" applyBorder="1" applyAlignment="1" applyProtection="1"/>
    <xf numFmtId="0" fontId="15" fillId="0" borderId="59" xfId="0" applyFont="1" applyBorder="1" applyAlignment="1" applyProtection="1"/>
    <xf numFmtId="0" fontId="21" fillId="2" borderId="58" xfId="0" applyFont="1" applyFill="1" applyBorder="1" applyAlignment="1" applyProtection="1">
      <alignment horizontal="right"/>
    </xf>
    <xf numFmtId="0" fontId="101" fillId="2" borderId="30" xfId="0" applyFont="1" applyFill="1" applyBorder="1" applyAlignment="1" applyProtection="1">
      <alignment horizontal="left"/>
    </xf>
    <xf numFmtId="0" fontId="0" fillId="0" borderId="31" xfId="0" applyBorder="1" applyAlignment="1" applyProtection="1">
      <alignment horizontal="left"/>
    </xf>
    <xf numFmtId="172" fontId="104" fillId="2" borderId="31" xfId="0" applyNumberFormat="1" applyFont="1" applyFill="1" applyBorder="1" applyAlignment="1" applyProtection="1">
      <alignment horizontal="right"/>
    </xf>
    <xf numFmtId="0" fontId="0" fillId="0" borderId="31" xfId="0" applyBorder="1" applyAlignment="1" applyProtection="1"/>
    <xf numFmtId="0" fontId="0" fillId="0" borderId="31" xfId="0" applyBorder="1" applyAlignment="1" applyProtection="1">
      <alignment horizontal="right"/>
    </xf>
    <xf numFmtId="0" fontId="82" fillId="2" borderId="66" xfId="0" applyFont="1" applyFill="1" applyBorder="1" applyAlignment="1" applyProtection="1"/>
    <xf numFmtId="0" fontId="0" fillId="0" borderId="58" xfId="0" applyBorder="1" applyAlignment="1" applyProtection="1"/>
    <xf numFmtId="0" fontId="78" fillId="0" borderId="21" xfId="0" applyFont="1" applyBorder="1" applyAlignment="1" applyProtection="1">
      <alignment horizontal="right" wrapText="1"/>
    </xf>
    <xf numFmtId="0" fontId="78" fillId="0" borderId="0" xfId="0" applyFont="1" applyBorder="1" applyAlignment="1" applyProtection="1">
      <alignment horizontal="right" wrapText="1"/>
    </xf>
    <xf numFmtId="0" fontId="78" fillId="0" borderId="39" xfId="0" applyFont="1" applyBorder="1" applyAlignment="1" applyProtection="1">
      <alignment horizontal="right" wrapText="1"/>
    </xf>
    <xf numFmtId="0" fontId="78" fillId="0" borderId="28" xfId="0" applyFont="1" applyBorder="1" applyAlignment="1" applyProtection="1">
      <alignment horizontal="right" wrapText="1"/>
    </xf>
    <xf numFmtId="0" fontId="77" fillId="2" borderId="4" xfId="0" applyFont="1" applyFill="1" applyBorder="1" applyAlignment="1" applyProtection="1">
      <alignment horizontal="center" wrapText="1"/>
    </xf>
    <xf numFmtId="0" fontId="77" fillId="2" borderId="31" xfId="0" applyFont="1" applyFill="1" applyBorder="1" applyAlignment="1" applyProtection="1">
      <alignment horizontal="center" wrapText="1"/>
    </xf>
    <xf numFmtId="0" fontId="77" fillId="2" borderId="27" xfId="0" applyFont="1" applyFill="1" applyBorder="1" applyAlignment="1" applyProtection="1">
      <alignment horizontal="center" wrapText="1"/>
    </xf>
    <xf numFmtId="0" fontId="0" fillId="0" borderId="46" xfId="0" applyBorder="1" applyAlignment="1" applyProtection="1">
      <alignment vertical="top" wrapText="1"/>
    </xf>
    <xf numFmtId="0" fontId="0" fillId="0" borderId="33" xfId="0" applyBorder="1" applyAlignment="1" applyProtection="1">
      <alignment vertical="top" wrapText="1"/>
    </xf>
    <xf numFmtId="0" fontId="0" fillId="0" borderId="91" xfId="0" applyBorder="1" applyAlignment="1" applyProtection="1">
      <alignment vertical="top" wrapText="1"/>
    </xf>
    <xf numFmtId="0" fontId="0" fillId="0" borderId="21" xfId="0" applyBorder="1" applyAlignment="1" applyProtection="1">
      <alignment vertical="top" wrapText="1"/>
    </xf>
    <xf numFmtId="0" fontId="0" fillId="0" borderId="0" xfId="0" applyAlignment="1" applyProtection="1">
      <alignment vertical="top" wrapText="1"/>
    </xf>
    <xf numFmtId="0" fontId="0" fillId="0" borderId="53" xfId="0" applyBorder="1" applyAlignment="1" applyProtection="1">
      <alignment vertical="top" wrapText="1"/>
    </xf>
    <xf numFmtId="0" fontId="0" fillId="0" borderId="39" xfId="0" applyBorder="1" applyAlignment="1" applyProtection="1">
      <alignment vertical="top" wrapText="1"/>
    </xf>
    <xf numFmtId="0" fontId="0" fillId="0" borderId="28" xfId="0" applyBorder="1" applyAlignment="1" applyProtection="1">
      <alignment vertical="top" wrapText="1"/>
    </xf>
    <xf numFmtId="0" fontId="0" fillId="0" borderId="72" xfId="0" applyBorder="1" applyAlignment="1" applyProtection="1">
      <alignment vertical="top" wrapText="1"/>
    </xf>
    <xf numFmtId="0" fontId="80" fillId="9" borderId="5" xfId="0" applyFont="1" applyFill="1" applyBorder="1" applyAlignment="1" applyProtection="1">
      <alignment horizontal="center"/>
    </xf>
    <xf numFmtId="0" fontId="0" fillId="9" borderId="7" xfId="0" applyFill="1" applyBorder="1" applyAlignment="1" applyProtection="1">
      <alignment horizontal="center"/>
    </xf>
    <xf numFmtId="0" fontId="0" fillId="9" borderId="6" xfId="0" applyFill="1" applyBorder="1" applyAlignment="1" applyProtection="1">
      <alignment horizontal="center"/>
    </xf>
    <xf numFmtId="173" fontId="75" fillId="2" borderId="2" xfId="2" applyNumberFormat="1" applyFont="1" applyFill="1" applyBorder="1" applyAlignment="1" applyProtection="1">
      <alignment horizontal="center"/>
    </xf>
    <xf numFmtId="173" fontId="75" fillId="2" borderId="41" xfId="2" applyNumberFormat="1" applyFont="1" applyFill="1" applyBorder="1" applyAlignment="1" applyProtection="1">
      <alignment horizontal="center"/>
    </xf>
    <xf numFmtId="173" fontId="75" fillId="2" borderId="9" xfId="2" applyNumberFormat="1" applyFont="1" applyFill="1" applyBorder="1" applyAlignment="1" applyProtection="1">
      <alignment horizontal="center"/>
    </xf>
    <xf numFmtId="173" fontId="75" fillId="2" borderId="48" xfId="2" applyNumberFormat="1" applyFont="1" applyFill="1" applyBorder="1" applyAlignment="1" applyProtection="1">
      <alignment horizontal="center"/>
    </xf>
    <xf numFmtId="0" fontId="78" fillId="0" borderId="46" xfId="0" applyFont="1" applyBorder="1" applyAlignment="1" applyProtection="1">
      <alignment horizontal="right" wrapText="1"/>
    </xf>
    <xf numFmtId="0" fontId="78" fillId="0" borderId="33" xfId="0" applyFont="1" applyBorder="1" applyAlignment="1" applyProtection="1">
      <alignment horizontal="right" wrapText="1"/>
    </xf>
    <xf numFmtId="0" fontId="89" fillId="0" borderId="46" xfId="0" applyFont="1" applyBorder="1" applyAlignment="1" applyProtection="1">
      <alignment horizontal="center"/>
    </xf>
    <xf numFmtId="0" fontId="0" fillId="0" borderId="33" xfId="0" applyBorder="1" applyAlignment="1" applyProtection="1"/>
    <xf numFmtId="0" fontId="89" fillId="0" borderId="33" xfId="0" applyFont="1" applyBorder="1" applyAlignment="1" applyProtection="1">
      <alignment horizontal="center"/>
    </xf>
    <xf numFmtId="0" fontId="89" fillId="0" borderId="0" xfId="0" applyFont="1" applyBorder="1" applyAlignment="1" applyProtection="1">
      <alignment horizontal="center"/>
    </xf>
    <xf numFmtId="0" fontId="0" fillId="0" borderId="0" xfId="0" applyBorder="1" applyAlignment="1" applyProtection="1"/>
    <xf numFmtId="0" fontId="89" fillId="0" borderId="21" xfId="0" applyFont="1" applyBorder="1" applyAlignment="1" applyProtection="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ont>
        <b/>
        <i val="0"/>
        <color rgb="FF9C0006"/>
      </font>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FF00FF"/>
      <color rgb="FFFFFF99"/>
      <color rgb="FFC0C0C0"/>
      <color rgb="FFFF99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image" Target="../media/image12.emf"/><Relationship Id="rId18" Type="http://schemas.openxmlformats.org/officeDocument/2006/relationships/image" Target="../media/image18.emf"/><Relationship Id="rId3" Type="http://schemas.openxmlformats.org/officeDocument/2006/relationships/image" Target="../media/image6.emf"/><Relationship Id="rId7" Type="http://schemas.openxmlformats.org/officeDocument/2006/relationships/image" Target="../media/image2.emf"/><Relationship Id="rId12" Type="http://schemas.openxmlformats.org/officeDocument/2006/relationships/image" Target="../media/image11.emf"/><Relationship Id="rId17" Type="http://schemas.openxmlformats.org/officeDocument/2006/relationships/image" Target="../media/image17.emf"/><Relationship Id="rId2" Type="http://schemas.openxmlformats.org/officeDocument/2006/relationships/image" Target="../media/image7.emf"/><Relationship Id="rId16" Type="http://schemas.openxmlformats.org/officeDocument/2006/relationships/image" Target="../media/image16.emf"/><Relationship Id="rId1" Type="http://schemas.openxmlformats.org/officeDocument/2006/relationships/image" Target="../media/image14.emf"/><Relationship Id="rId6" Type="http://schemas.openxmlformats.org/officeDocument/2006/relationships/image" Target="../media/image3.emf"/><Relationship Id="rId11" Type="http://schemas.openxmlformats.org/officeDocument/2006/relationships/image" Target="../media/image10.emf"/><Relationship Id="rId5" Type="http://schemas.openxmlformats.org/officeDocument/2006/relationships/image" Target="../media/image4.emf"/><Relationship Id="rId15" Type="http://schemas.openxmlformats.org/officeDocument/2006/relationships/image" Target="../media/image15.emf"/><Relationship Id="rId10" Type="http://schemas.openxmlformats.org/officeDocument/2006/relationships/image" Target="../media/image9.emf"/><Relationship Id="rId19" Type="http://schemas.openxmlformats.org/officeDocument/2006/relationships/image" Target="../media/image19.emf"/><Relationship Id="rId4" Type="http://schemas.openxmlformats.org/officeDocument/2006/relationships/image" Target="../media/image5.emf"/><Relationship Id="rId9" Type="http://schemas.openxmlformats.org/officeDocument/2006/relationships/image" Target="../media/image8.emf"/><Relationship Id="rId14" Type="http://schemas.openxmlformats.org/officeDocument/2006/relationships/image" Target="../media/image13.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25.emf"/><Relationship Id="rId7" Type="http://schemas.openxmlformats.org/officeDocument/2006/relationships/image" Target="../media/image27.emf"/><Relationship Id="rId2" Type="http://schemas.openxmlformats.org/officeDocument/2006/relationships/image" Target="../media/image24.emf"/><Relationship Id="rId1" Type="http://schemas.openxmlformats.org/officeDocument/2006/relationships/image" Target="../media/image23.emf"/><Relationship Id="rId6" Type="http://schemas.openxmlformats.org/officeDocument/2006/relationships/image" Target="../media/image26.emf"/><Relationship Id="rId5" Type="http://schemas.openxmlformats.org/officeDocument/2006/relationships/image" Target="../media/image21.emf"/><Relationship Id="rId4" Type="http://schemas.openxmlformats.org/officeDocument/2006/relationships/image" Target="../media/image2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0.emf"/><Relationship Id="rId2" Type="http://schemas.openxmlformats.org/officeDocument/2006/relationships/image" Target="../media/image31.emf"/><Relationship Id="rId1" Type="http://schemas.openxmlformats.org/officeDocument/2006/relationships/image" Target="../media/image32.emf"/><Relationship Id="rId5" Type="http://schemas.openxmlformats.org/officeDocument/2006/relationships/image" Target="../media/image28.emf"/><Relationship Id="rId4" Type="http://schemas.openxmlformats.org/officeDocument/2006/relationships/image" Target="../media/image2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9525</xdr:colOff>
          <xdr:row>41</xdr:row>
          <xdr:rowOff>0</xdr:rowOff>
        </xdr:to>
        <xdr:sp macro="" textlink="">
          <xdr:nvSpPr>
            <xdr:cNvPr id="1199" name="ComboBox3"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40</xdr:row>
          <xdr:rowOff>209550</xdr:rowOff>
        </xdr:from>
        <xdr:to>
          <xdr:col>6</xdr:col>
          <xdr:colOff>133350</xdr:colOff>
          <xdr:row>42</xdr:row>
          <xdr:rowOff>57150</xdr:rowOff>
        </xdr:to>
        <xdr:sp macro="" textlink="">
          <xdr:nvSpPr>
            <xdr:cNvPr id="1120" name="CheckBox2" descr="What?"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209550</xdr:rowOff>
        </xdr:from>
        <xdr:to>
          <xdr:col>6</xdr:col>
          <xdr:colOff>1362075</xdr:colOff>
          <xdr:row>42</xdr:row>
          <xdr:rowOff>57150</xdr:rowOff>
        </xdr:to>
        <xdr:sp macro="" textlink="">
          <xdr:nvSpPr>
            <xdr:cNvPr id="1122" name="CheckBox3" descr="What?"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161925</xdr:rowOff>
        </xdr:from>
        <xdr:to>
          <xdr:col>5</xdr:col>
          <xdr:colOff>228600</xdr:colOff>
          <xdr:row>43</xdr:row>
          <xdr:rowOff>9525</xdr:rowOff>
        </xdr:to>
        <xdr:sp macro="" textlink="">
          <xdr:nvSpPr>
            <xdr:cNvPr id="1123" name="CheckBox4" descr="What?"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1219200</xdr:colOff>
          <xdr:row>40</xdr:row>
          <xdr:rowOff>209550</xdr:rowOff>
        </xdr:from>
        <xdr:to>
          <xdr:col>21</xdr:col>
          <xdr:colOff>266700</xdr:colOff>
          <xdr:row>42</xdr:row>
          <xdr:rowOff>57150</xdr:rowOff>
        </xdr:to>
        <xdr:sp macro="" textlink="">
          <xdr:nvSpPr>
            <xdr:cNvPr id="1124" name="CheckBox5" descr="What?"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41</xdr:row>
          <xdr:rowOff>161925</xdr:rowOff>
        </xdr:from>
        <xdr:to>
          <xdr:col>6</xdr:col>
          <xdr:colOff>123825</xdr:colOff>
          <xdr:row>43</xdr:row>
          <xdr:rowOff>9525</xdr:rowOff>
        </xdr:to>
        <xdr:sp macro="" textlink="">
          <xdr:nvSpPr>
            <xdr:cNvPr id="1125" name="CheckBox6" descr="What?"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171450</xdr:rowOff>
        </xdr:from>
        <xdr:to>
          <xdr:col>6</xdr:col>
          <xdr:colOff>1905000</xdr:colOff>
          <xdr:row>43</xdr:row>
          <xdr:rowOff>19050</xdr:rowOff>
        </xdr:to>
        <xdr:sp macro="" textlink="">
          <xdr:nvSpPr>
            <xdr:cNvPr id="1126" name="CheckBox7" descr="What?"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209550</xdr:rowOff>
        </xdr:from>
        <xdr:to>
          <xdr:col>4</xdr:col>
          <xdr:colOff>295275</xdr:colOff>
          <xdr:row>42</xdr:row>
          <xdr:rowOff>57150</xdr:rowOff>
        </xdr:to>
        <xdr:sp macro="" textlink="">
          <xdr:nvSpPr>
            <xdr:cNvPr id="1173" name="CheckBox1"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209550</xdr:rowOff>
        </xdr:from>
        <xdr:to>
          <xdr:col>5</xdr:col>
          <xdr:colOff>28575</xdr:colOff>
          <xdr:row>44</xdr:row>
          <xdr:rowOff>57150</xdr:rowOff>
        </xdr:to>
        <xdr:sp macro="" textlink="">
          <xdr:nvSpPr>
            <xdr:cNvPr id="1189" name="CheckBox31a"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42</xdr:row>
          <xdr:rowOff>219075</xdr:rowOff>
        </xdr:from>
        <xdr:to>
          <xdr:col>5</xdr:col>
          <xdr:colOff>1133475</xdr:colOff>
          <xdr:row>44</xdr:row>
          <xdr:rowOff>66675</xdr:rowOff>
        </xdr:to>
        <xdr:sp macro="" textlink="">
          <xdr:nvSpPr>
            <xdr:cNvPr id="1190" name="CheckBox31b"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190500</xdr:rowOff>
        </xdr:from>
        <xdr:to>
          <xdr:col>5</xdr:col>
          <xdr:colOff>28575</xdr:colOff>
          <xdr:row>45</xdr:row>
          <xdr:rowOff>38100</xdr:rowOff>
        </xdr:to>
        <xdr:sp macro="" textlink="">
          <xdr:nvSpPr>
            <xdr:cNvPr id="1191" name="CheckBox31c"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43</xdr:row>
          <xdr:rowOff>190500</xdr:rowOff>
        </xdr:from>
        <xdr:to>
          <xdr:col>5</xdr:col>
          <xdr:colOff>1047750</xdr:colOff>
          <xdr:row>45</xdr:row>
          <xdr:rowOff>38100</xdr:rowOff>
        </xdr:to>
        <xdr:sp macro="" textlink="">
          <xdr:nvSpPr>
            <xdr:cNvPr id="1193" name="CheckBox31d"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5</xdr:col>
          <xdr:colOff>0</xdr:colOff>
          <xdr:row>36</xdr:row>
          <xdr:rowOff>0</xdr:rowOff>
        </xdr:to>
        <xdr:sp macro="" textlink="">
          <xdr:nvSpPr>
            <xdr:cNvPr id="1196" name="ComboBox1"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9525</xdr:colOff>
          <xdr:row>40</xdr:row>
          <xdr:rowOff>0</xdr:rowOff>
        </xdr:to>
        <xdr:sp macro="" textlink="">
          <xdr:nvSpPr>
            <xdr:cNvPr id="1198" name="ComboBox2"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9525</xdr:colOff>
          <xdr:row>46</xdr:row>
          <xdr:rowOff>0</xdr:rowOff>
        </xdr:to>
        <xdr:sp macro="" textlink="">
          <xdr:nvSpPr>
            <xdr:cNvPr id="1202" name="ComboBox6"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9525</xdr:rowOff>
        </xdr:from>
        <xdr:to>
          <xdr:col>6</xdr:col>
          <xdr:colOff>95250</xdr:colOff>
          <xdr:row>13</xdr:row>
          <xdr:rowOff>0</xdr:rowOff>
        </xdr:to>
        <xdr:sp macro="" textlink="">
          <xdr:nvSpPr>
            <xdr:cNvPr id="1203" name="ComboBox7"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5</xdr:col>
          <xdr:colOff>9525</xdr:colOff>
          <xdr:row>14</xdr:row>
          <xdr:rowOff>0</xdr:rowOff>
        </xdr:to>
        <xdr:sp macro="" textlink="">
          <xdr:nvSpPr>
            <xdr:cNvPr id="1205" name="ComboBox8"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0</xdr:colOff>
          <xdr:row>39</xdr:row>
          <xdr:rowOff>9525</xdr:rowOff>
        </xdr:to>
        <xdr:sp macro="" textlink="">
          <xdr:nvSpPr>
            <xdr:cNvPr id="1206" name="ERDistComboBox"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5</xdr:col>
          <xdr:colOff>9525</xdr:colOff>
          <xdr:row>15</xdr:row>
          <xdr:rowOff>9525</xdr:rowOff>
        </xdr:to>
        <xdr:sp macro="" textlink="">
          <xdr:nvSpPr>
            <xdr:cNvPr id="1213" name="ComboBox4"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4</xdr:col>
          <xdr:colOff>0</xdr:colOff>
          <xdr:row>39</xdr:row>
          <xdr:rowOff>9525</xdr:rowOff>
        </xdr:to>
        <xdr:sp macro="" textlink="">
          <xdr:nvSpPr>
            <xdr:cNvPr id="3106" name="ComboBox1"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9525</xdr:rowOff>
        </xdr:from>
        <xdr:to>
          <xdr:col>4</xdr:col>
          <xdr:colOff>0</xdr:colOff>
          <xdr:row>49</xdr:row>
          <xdr:rowOff>9525</xdr:rowOff>
        </xdr:to>
        <xdr:sp macro="" textlink="">
          <xdr:nvSpPr>
            <xdr:cNvPr id="3108" name="ComboBox2"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4</xdr:col>
          <xdr:colOff>0</xdr:colOff>
          <xdr:row>53</xdr:row>
          <xdr:rowOff>0</xdr:rowOff>
        </xdr:to>
        <xdr:sp macro="" textlink="">
          <xdr:nvSpPr>
            <xdr:cNvPr id="3109" name="ComboBox3"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4</xdr:col>
          <xdr:colOff>9525</xdr:colOff>
          <xdr:row>24</xdr:row>
          <xdr:rowOff>9525</xdr:rowOff>
        </xdr:to>
        <xdr:sp macro="" textlink="">
          <xdr:nvSpPr>
            <xdr:cNvPr id="3112" name="PharmDrivethru"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9525</xdr:rowOff>
        </xdr:from>
        <xdr:to>
          <xdr:col>4</xdr:col>
          <xdr:colOff>9525</xdr:colOff>
          <xdr:row>25</xdr:row>
          <xdr:rowOff>9525</xdr:rowOff>
        </xdr:to>
        <xdr:sp macro="" textlink="">
          <xdr:nvSpPr>
            <xdr:cNvPr id="3115" name="Pharm247ED"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9525</xdr:rowOff>
        </xdr:from>
        <xdr:to>
          <xdr:col>4</xdr:col>
          <xdr:colOff>0</xdr:colOff>
          <xdr:row>45</xdr:row>
          <xdr:rowOff>9525</xdr:rowOff>
        </xdr:to>
        <xdr:sp macro="" textlink="">
          <xdr:nvSpPr>
            <xdr:cNvPr id="3116" name="ComboBox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9525</xdr:rowOff>
        </xdr:from>
        <xdr:to>
          <xdr:col>4</xdr:col>
          <xdr:colOff>0</xdr:colOff>
          <xdr:row>46</xdr:row>
          <xdr:rowOff>9525</xdr:rowOff>
        </xdr:to>
        <xdr:sp macro="" textlink="">
          <xdr:nvSpPr>
            <xdr:cNvPr id="3120" name="ComboBox5"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9525</xdr:rowOff>
        </xdr:from>
        <xdr:to>
          <xdr:col>4</xdr:col>
          <xdr:colOff>0</xdr:colOff>
          <xdr:row>28</xdr:row>
          <xdr:rowOff>9525</xdr:rowOff>
        </xdr:to>
        <xdr:sp macro="" textlink="">
          <xdr:nvSpPr>
            <xdr:cNvPr id="3122" name="ComboBox6"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25</xdr:row>
          <xdr:rowOff>209550</xdr:rowOff>
        </xdr:from>
        <xdr:to>
          <xdr:col>5</xdr:col>
          <xdr:colOff>0</xdr:colOff>
          <xdr:row>27</xdr:row>
          <xdr:rowOff>0</xdr:rowOff>
        </xdr:to>
        <xdr:sp macro="" textlink="">
          <xdr:nvSpPr>
            <xdr:cNvPr id="2102" name="RemoteLocationComboBox"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20</xdr:row>
          <xdr:rowOff>9525</xdr:rowOff>
        </xdr:from>
        <xdr:to>
          <xdr:col>2</xdr:col>
          <xdr:colOff>1704975</xdr:colOff>
          <xdr:row>21</xdr:row>
          <xdr:rowOff>0</xdr:rowOff>
        </xdr:to>
        <xdr:sp macro="" textlink="">
          <xdr:nvSpPr>
            <xdr:cNvPr id="2103" name="ICUStabilityCkBox"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20</xdr:row>
          <xdr:rowOff>9525</xdr:rowOff>
        </xdr:from>
        <xdr:to>
          <xdr:col>2</xdr:col>
          <xdr:colOff>2971800</xdr:colOff>
          <xdr:row>21</xdr:row>
          <xdr:rowOff>0</xdr:rowOff>
        </xdr:to>
        <xdr:sp macro="" textlink="">
          <xdr:nvSpPr>
            <xdr:cNvPr id="2104" name="ICUComplexCkBox"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3067050</xdr:colOff>
          <xdr:row>20</xdr:row>
          <xdr:rowOff>9525</xdr:rowOff>
        </xdr:from>
        <xdr:to>
          <xdr:col>3</xdr:col>
          <xdr:colOff>895350</xdr:colOff>
          <xdr:row>20</xdr:row>
          <xdr:rowOff>190500</xdr:rowOff>
        </xdr:to>
        <xdr:sp macro="" textlink="">
          <xdr:nvSpPr>
            <xdr:cNvPr id="2105" name="ICUVulnerabilityCkBox"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20</xdr:row>
          <xdr:rowOff>9525</xdr:rowOff>
        </xdr:from>
        <xdr:to>
          <xdr:col>3</xdr:col>
          <xdr:colOff>2019300</xdr:colOff>
          <xdr:row>20</xdr:row>
          <xdr:rowOff>171450</xdr:rowOff>
        </xdr:to>
        <xdr:sp macro="" textlink="">
          <xdr:nvSpPr>
            <xdr:cNvPr id="2106" name="ICUResiliencyCkBox"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39" Type="http://schemas.openxmlformats.org/officeDocument/2006/relationships/control" Target="../activeX/activeX18.xml"/><Relationship Id="rId3" Type="http://schemas.openxmlformats.org/officeDocument/2006/relationships/drawing" Target="../drawings/drawing1.xml"/><Relationship Id="rId21" Type="http://schemas.openxmlformats.org/officeDocument/2006/relationships/control" Target="../activeX/activeX9.xml"/><Relationship Id="rId34" Type="http://schemas.openxmlformats.org/officeDocument/2006/relationships/image" Target="../media/image15.emf"/><Relationship Id="rId42" Type="http://schemas.openxmlformats.org/officeDocument/2006/relationships/image" Target="../media/image19.emf"/><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38" Type="http://schemas.openxmlformats.org/officeDocument/2006/relationships/image" Target="../media/image17.emf"/><Relationship Id="rId2" Type="http://schemas.openxmlformats.org/officeDocument/2006/relationships/printerSettings" Target="../printerSettings/printerSettings2.bin"/><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ontrol" Target="../activeX/activeX13.xml"/><Relationship Id="rId41" Type="http://schemas.openxmlformats.org/officeDocument/2006/relationships/control" Target="../activeX/activeX19.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7.xml"/><Relationship Id="rId40" Type="http://schemas.openxmlformats.org/officeDocument/2006/relationships/image" Target="../media/image18.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2.emf"/><Relationship Id="rId36" Type="http://schemas.openxmlformats.org/officeDocument/2006/relationships/image" Target="../media/image16.emf"/><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ontrol" Target="../activeX/activeX14.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ontrol" Target="../activeX/activeX12.xml"/><Relationship Id="rId30" Type="http://schemas.openxmlformats.org/officeDocument/2006/relationships/image" Target="../media/image13.emf"/><Relationship Id="rId35" Type="http://schemas.openxmlformats.org/officeDocument/2006/relationships/control" Target="../activeX/activeX16.xml"/><Relationship Id="rId4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image" Target="../media/image21.emf"/><Relationship Id="rId13" Type="http://schemas.openxmlformats.org/officeDocument/2006/relationships/control" Target="../activeX/activeX24.xml"/><Relationship Id="rId18" Type="http://schemas.openxmlformats.org/officeDocument/2006/relationships/image" Target="../media/image26.emf"/><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ontrol" Target="../activeX/activeX21.xml"/><Relationship Id="rId12" Type="http://schemas.openxmlformats.org/officeDocument/2006/relationships/image" Target="../media/image23.emf"/><Relationship Id="rId17" Type="http://schemas.openxmlformats.org/officeDocument/2006/relationships/control" Target="../activeX/activeX26.xml"/><Relationship Id="rId2" Type="http://schemas.openxmlformats.org/officeDocument/2006/relationships/printerSettings" Target="../printerSettings/printerSettings4.bin"/><Relationship Id="rId16" Type="http://schemas.openxmlformats.org/officeDocument/2006/relationships/image" Target="../media/image25.emf"/><Relationship Id="rId20" Type="http://schemas.openxmlformats.org/officeDocument/2006/relationships/image" Target="../media/image27.emf"/><Relationship Id="rId1" Type="http://schemas.openxmlformats.org/officeDocument/2006/relationships/printerSettings" Target="../printerSettings/printerSettings3.bin"/><Relationship Id="rId6" Type="http://schemas.openxmlformats.org/officeDocument/2006/relationships/image" Target="../media/image20.emf"/><Relationship Id="rId11" Type="http://schemas.openxmlformats.org/officeDocument/2006/relationships/control" Target="../activeX/activeX23.xml"/><Relationship Id="rId5" Type="http://schemas.openxmlformats.org/officeDocument/2006/relationships/control" Target="../activeX/activeX20.xml"/><Relationship Id="rId15" Type="http://schemas.openxmlformats.org/officeDocument/2006/relationships/control" Target="../activeX/activeX25.xml"/><Relationship Id="rId10" Type="http://schemas.openxmlformats.org/officeDocument/2006/relationships/image" Target="../media/image22.emf"/><Relationship Id="rId19" Type="http://schemas.openxmlformats.org/officeDocument/2006/relationships/control" Target="../activeX/activeX27.xml"/><Relationship Id="rId4" Type="http://schemas.openxmlformats.org/officeDocument/2006/relationships/vmlDrawing" Target="../drawings/vmlDrawing2.vml"/><Relationship Id="rId9" Type="http://schemas.openxmlformats.org/officeDocument/2006/relationships/control" Target="../activeX/activeX22.xml"/><Relationship Id="rId14" Type="http://schemas.openxmlformats.org/officeDocument/2006/relationships/image" Target="../media/image24.emf"/></Relationships>
</file>

<file path=xl/worksheets/_rels/sheet4.x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control" Target="../activeX/activeX32.xml"/><Relationship Id="rId3" Type="http://schemas.openxmlformats.org/officeDocument/2006/relationships/drawing" Target="../drawings/drawing3.xml"/><Relationship Id="rId7" Type="http://schemas.openxmlformats.org/officeDocument/2006/relationships/control" Target="../activeX/activeX29.xml"/><Relationship Id="rId12" Type="http://schemas.openxmlformats.org/officeDocument/2006/relationships/image" Target="../media/image31.emf"/><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image" Target="../media/image28.emf"/><Relationship Id="rId11" Type="http://schemas.openxmlformats.org/officeDocument/2006/relationships/control" Target="../activeX/activeX31.xml"/><Relationship Id="rId5" Type="http://schemas.openxmlformats.org/officeDocument/2006/relationships/control" Target="../activeX/activeX28.xml"/><Relationship Id="rId15" Type="http://schemas.openxmlformats.org/officeDocument/2006/relationships/comments" Target="../comments3.xml"/><Relationship Id="rId10" Type="http://schemas.openxmlformats.org/officeDocument/2006/relationships/image" Target="../media/image30.emf"/><Relationship Id="rId4" Type="http://schemas.openxmlformats.org/officeDocument/2006/relationships/vmlDrawing" Target="../drawings/vmlDrawing3.vml"/><Relationship Id="rId9" Type="http://schemas.openxmlformats.org/officeDocument/2006/relationships/control" Target="../activeX/activeX30.xml"/><Relationship Id="rId14" Type="http://schemas.openxmlformats.org/officeDocument/2006/relationships/image" Target="../media/image32.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4"/>
  <sheetViews>
    <sheetView workbookViewId="0">
      <selection activeCell="AM1" sqref="AM1"/>
    </sheetView>
  </sheetViews>
  <sheetFormatPr defaultRowHeight="15.75"/>
  <cols>
    <col min="1" max="1" width="23.75" bestFit="1" customWidth="1" collapsed="1"/>
  </cols>
  <sheetData>
    <row r="1" spans="1:1">
      <c r="A1" s="1067" t="s">
        <v>663</v>
      </c>
    </row>
    <row r="2" spans="1:1">
      <c r="A2" s="1068" t="s">
        <v>664</v>
      </c>
    </row>
    <row r="3" spans="1:1">
      <c r="A3" s="1068" t="s">
        <v>675</v>
      </c>
    </row>
    <row r="4" spans="1:1">
      <c r="A4" s="1068" t="s">
        <v>665</v>
      </c>
    </row>
    <row r="5" spans="1:1">
      <c r="A5" s="1068" t="s">
        <v>666</v>
      </c>
    </row>
    <row r="6" spans="1:1">
      <c r="A6" s="1068" t="s">
        <v>667</v>
      </c>
    </row>
    <row r="7" spans="1:1">
      <c r="A7" s="1068" t="s">
        <v>668</v>
      </c>
    </row>
    <row r="8" spans="1:1">
      <c r="A8" s="1068" t="s">
        <v>669</v>
      </c>
    </row>
    <row r="9" spans="1:1">
      <c r="A9" s="1068" t="s">
        <v>670</v>
      </c>
    </row>
    <row r="10" spans="1:1">
      <c r="A10" s="1068" t="s">
        <v>671</v>
      </c>
    </row>
    <row r="11" spans="1:1">
      <c r="A11" s="1068" t="s">
        <v>672</v>
      </c>
    </row>
    <row r="12" spans="1:1">
      <c r="A12" s="1068" t="s">
        <v>464</v>
      </c>
    </row>
    <row r="13" spans="1:1">
      <c r="A13" s="1068" t="s">
        <v>673</v>
      </c>
    </row>
    <row r="14" spans="1:1">
      <c r="A14" s="1068" t="s">
        <v>674</v>
      </c>
    </row>
  </sheetData>
  <sheetProtection algorithmName="SHA-512" hashValue="9J2iNMxVx4R8d/vwThQ/pxsnj+f7Rsb9l6fry217XG01+lV795FprQnV2ZttkqYd+G4PIbMtFKv+fmWq5Y8/ig==" saltValue="3tUef8Rsjn75d/CMijh37g==" spinCount="100000" sheet="1" objects="1" scenarios="1"/>
  <customSheetViews>
    <customSheetView guid="{82538F0F-5202-4835-8386-243FA62C9FC1}" state="hidden">
      <selection activeCell="A2" sqref="A2"/>
      <pageMargins left="0.7" right="0.7" top="0.75" bottom="0.75" header="0.3" footer="0.3"/>
    </customSheetView>
  </customSheetViews>
  <hyperlinks>
    <hyperlink ref="A2" location="'Fac INFO'!A1" display="Fac INFO"/>
    <hyperlink ref="A3" location="'INPT WKLD'!A1" display="INATIENT WORKLOAD"/>
    <hyperlink ref="A4" location="'OutPt WKLD'!A1" display="OutPt WKLD"/>
    <hyperlink ref="A5" location="'AMB-FTE'!A1" display="AMB-FTE"/>
    <hyperlink ref="A6" location="'OPS-FTE'!A1" display="OPS-FTE"/>
    <hyperlink ref="A7" location="'COMM-FTE'!A1" display="COMM-FTE"/>
    <hyperlink ref="A8" location="'EMS Worksheet'!A1" display="EMS Worksheet"/>
    <hyperlink ref="A9" location="'INPAT&amp;ANCILLARY-FTE'!A1" display="INPAT&amp;ANCILLARY-FTE"/>
    <hyperlink ref="A10" location="'FTE List'!A1" display="FTE List"/>
    <hyperlink ref="A11" location="'Pay Scales'!A1" display="Pay Scales"/>
    <hyperlink ref="A12" location="'EMS'!A1" display="EMS"/>
    <hyperlink ref="A13" location="'Budget Calc'!A1" display="Budget Calc"/>
    <hyperlink ref="A14" location="'HSP Crosswalk'!A1" display="HSP Crosswalk"/>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R421"/>
  <sheetViews>
    <sheetView topLeftCell="B173" zoomScale="130" zoomScaleNormal="130" workbookViewId="0">
      <selection activeCell="D18" sqref="D18"/>
    </sheetView>
  </sheetViews>
  <sheetFormatPr defaultColWidth="0" defaultRowHeight="15.75" zeroHeight="1"/>
  <cols>
    <col min="1" max="1" width="10.375" style="952" hidden="1" customWidth="1" collapsed="1"/>
    <col min="2" max="2" width="4.625" style="1695" customWidth="1" collapsed="1"/>
    <col min="3" max="3" width="52.25" customWidth="1" collapsed="1"/>
    <col min="4" max="4" width="16" style="1748" customWidth="1" collapsed="1"/>
    <col min="5" max="5" width="12.75" hidden="1" customWidth="1" collapsed="1"/>
    <col min="6" max="6" width="28.375" hidden="1" customWidth="1" collapsed="1"/>
    <col min="7" max="7" width="12.625" style="614" hidden="1" customWidth="1" collapsed="1"/>
    <col min="8" max="8" width="10.5" style="106" hidden="1" customWidth="1" collapsed="1"/>
    <col min="9" max="9" width="10.375" style="106" hidden="1" customWidth="1" collapsed="1"/>
    <col min="10" max="10" width="8.875" hidden="1" customWidth="1" collapsed="1"/>
    <col min="11" max="11" width="15.625" style="106" hidden="1" customWidth="1" collapsed="1"/>
    <col min="12" max="16" width="6.75" hidden="1" customWidth="1" collapsed="1"/>
    <col min="17" max="17" width="21.25" hidden="1" customWidth="1"/>
    <col min="18" max="18" width="21.25" hidden="1" customWidth="1" collapsed="1"/>
    <col min="19" max="16384" width="21.25" hidden="1"/>
  </cols>
  <sheetData>
    <row r="1" spans="1:12" s="1604" customFormat="1" ht="21" thickTop="1">
      <c r="A1" s="1603"/>
      <c r="B1" s="1956" t="s">
        <v>944</v>
      </c>
      <c r="C1" s="1956"/>
      <c r="D1" s="1956"/>
      <c r="G1" s="1605"/>
      <c r="H1" s="1606"/>
      <c r="I1" s="1606"/>
      <c r="K1" s="1606"/>
    </row>
    <row r="2" spans="1:12" s="1604" customFormat="1" ht="18.75" customHeight="1">
      <c r="A2" s="1603"/>
      <c r="B2" s="1957" t="str">
        <f xml:space="preserve"> 'Facility Info'!$E$5</f>
        <v>Proposed Project</v>
      </c>
      <c r="C2" s="1957"/>
      <c r="D2" s="1957"/>
      <c r="G2" s="1605"/>
      <c r="H2" s="1606"/>
      <c r="I2" s="1606"/>
      <c r="K2" s="1606"/>
    </row>
    <row r="3" spans="1:12" s="1604" customFormat="1" ht="13.5" customHeight="1">
      <c r="A3" s="1603"/>
      <c r="B3" s="1607"/>
      <c r="C3" s="1608" t="str">
        <f>'Facility Info'!$F$1</f>
        <v>Last Update:</v>
      </c>
      <c r="D3" s="1609">
        <f>'Facility Info'!$G$1</f>
        <v>43902</v>
      </c>
      <c r="G3" s="1605"/>
      <c r="H3" s="1606"/>
      <c r="I3" s="1606"/>
      <c r="K3" s="1606"/>
    </row>
    <row r="4" spans="1:12" ht="13.5" customHeight="1" thickBot="1">
      <c r="B4" s="1610"/>
      <c r="C4" s="1608" t="str">
        <f>'Facility Info'!$F$2</f>
        <v>Today's Date:</v>
      </c>
      <c r="D4" s="1409">
        <f ca="1">'Facility Info'!$G$2</f>
        <v>43944.347985416665</v>
      </c>
    </row>
    <row r="5" spans="1:12" s="1613" customFormat="1" ht="19.5" thickBot="1">
      <c r="A5" s="1611"/>
      <c r="B5" s="1958" t="s">
        <v>945</v>
      </c>
      <c r="C5" s="1959"/>
      <c r="D5" s="1612" t="s">
        <v>147</v>
      </c>
      <c r="G5" s="1614"/>
      <c r="H5" s="1615"/>
      <c r="I5" s="1615"/>
      <c r="K5" s="1615"/>
    </row>
    <row r="6" spans="1:12" s="1613" customFormat="1" ht="4.5" customHeight="1" thickBot="1">
      <c r="A6" s="1611"/>
      <c r="B6" s="1616"/>
      <c r="C6" s="1617"/>
      <c r="D6" s="1618"/>
      <c r="G6" s="1614"/>
      <c r="H6" s="1615"/>
      <c r="I6" s="1615"/>
      <c r="K6" s="1615"/>
    </row>
    <row r="7" spans="1:12" s="1613" customFormat="1" ht="25.5" customHeight="1" thickTop="1">
      <c r="A7" s="1619"/>
      <c r="B7" s="1960" t="s">
        <v>151</v>
      </c>
      <c r="C7" s="1961"/>
      <c r="D7" s="1620"/>
      <c r="E7" s="1621"/>
      <c r="F7" s="1621"/>
      <c r="G7" s="1622"/>
      <c r="H7" s="1621"/>
      <c r="I7" s="1621"/>
      <c r="J7" s="1623"/>
      <c r="K7" s="1615"/>
      <c r="L7" s="1624" t="s">
        <v>430</v>
      </c>
    </row>
    <row r="8" spans="1:12" ht="16.5" thickBot="1">
      <c r="B8" s="1625" t="s">
        <v>153</v>
      </c>
      <c r="C8" s="1626"/>
      <c r="D8" s="1627"/>
      <c r="E8" s="1628"/>
      <c r="F8" s="1628"/>
      <c r="G8" s="1629"/>
      <c r="H8" s="1628"/>
      <c r="I8" s="1628"/>
      <c r="J8" s="1630"/>
      <c r="K8"/>
      <c r="L8" s="1631" t="s">
        <v>515</v>
      </c>
    </row>
    <row r="9" spans="1:12" ht="16.5" thickTop="1">
      <c r="A9" s="952">
        <v>185</v>
      </c>
      <c r="B9" s="1632"/>
      <c r="C9" s="1633" t="str">
        <f>'INPAT&amp;ANCILLARY-FTE'!D13</f>
        <v>Chief of Service</v>
      </c>
      <c r="D9" s="1634">
        <f>'INPAT&amp;ANCILLARY-FTE'!M13</f>
        <v>0</v>
      </c>
      <c r="G9" s="1635" t="s">
        <v>513</v>
      </c>
      <c r="H9" s="1636" t="e">
        <f>INDEX('Pay Scales'!$G$6:$K$8,MATCH(G9,'Pay Scales'!$G$6:$G$8,0),'Pay Scales'!$U$4+1)*(1+('Pay Scales'!$V$6*('Pay Scales'!$U$4=4)))*(1+('Pay Scales'!$D$2))</f>
        <v>#N/A</v>
      </c>
      <c r="I9" s="1636" t="e">
        <f>H9*D9</f>
        <v>#N/A</v>
      </c>
      <c r="J9" s="1637"/>
      <c r="K9" t="s">
        <v>601</v>
      </c>
      <c r="L9" s="1638" t="s">
        <v>516</v>
      </c>
    </row>
    <row r="10" spans="1:12">
      <c r="A10" s="952">
        <v>1</v>
      </c>
      <c r="B10" s="1632"/>
      <c r="C10" s="1633" t="str">
        <f>'INPAT&amp;ANCILLARY-FTE'!D14</f>
        <v>GM Physician</v>
      </c>
      <c r="D10" s="1634">
        <f>'INPAT&amp;ANCILLARY-FTE'!M14</f>
        <v>0</v>
      </c>
      <c r="E10" t="s">
        <v>946</v>
      </c>
      <c r="F10" t="s">
        <v>947</v>
      </c>
      <c r="G10" s="1640" t="s">
        <v>512</v>
      </c>
      <c r="H10" s="1641" t="e">
        <f>INDEX('Pay Scales'!$G$6:$K$8,MATCH(G10,'Pay Scales'!$G$6:$G$8,0),'Pay Scales'!$U$4+1)*(1+('Pay Scales'!$V$6*('Pay Scales'!$U$4=4)))*(1+('Pay Scales'!$D$2))</f>
        <v>#N/A</v>
      </c>
      <c r="I10" s="1641" t="e">
        <f>H10*D10</f>
        <v>#N/A</v>
      </c>
      <c r="J10" s="1642"/>
      <c r="K10" t="s">
        <v>601</v>
      </c>
      <c r="L10" s="1638" t="s">
        <v>517</v>
      </c>
    </row>
    <row r="11" spans="1:12">
      <c r="A11" s="952">
        <v>2</v>
      </c>
      <c r="B11" s="1632"/>
      <c r="C11" s="1633" t="str">
        <f>'INPAT&amp;ANCILLARY-FTE'!D15</f>
        <v>Peds. Physician</v>
      </c>
      <c r="D11" s="1634">
        <f>'INPAT&amp;ANCILLARY-FTE'!M15</f>
        <v>0</v>
      </c>
      <c r="E11" t="s">
        <v>946</v>
      </c>
      <c r="F11" t="s">
        <v>947</v>
      </c>
      <c r="G11" s="1640" t="s">
        <v>512</v>
      </c>
      <c r="H11" s="1641" t="e">
        <f>INDEX('Pay Scales'!$G$6:$K$8,MATCH(G11,'Pay Scales'!$G$6:$G$8,0),'Pay Scales'!$U$4+1)*(1+('Pay Scales'!$V$6*('Pay Scales'!$U$4=4)))*(1+('Pay Scales'!$D$2))</f>
        <v>#N/A</v>
      </c>
      <c r="I11" s="1641" t="e">
        <f>H11*D11</f>
        <v>#N/A</v>
      </c>
      <c r="J11" s="1642"/>
      <c r="K11" t="s">
        <v>601</v>
      </c>
      <c r="L11" s="1638" t="s">
        <v>518</v>
      </c>
    </row>
    <row r="12" spans="1:12">
      <c r="A12" s="952">
        <v>3</v>
      </c>
      <c r="B12" s="1632"/>
      <c r="C12" s="1633" t="str">
        <f>'INPAT&amp;ANCILLARY-FTE'!D16</f>
        <v>OB/GYN Physician</v>
      </c>
      <c r="D12" s="1634">
        <f>'INPAT&amp;ANCILLARY-FTE'!M16</f>
        <v>0</v>
      </c>
      <c r="E12" t="s">
        <v>946</v>
      </c>
      <c r="F12" t="s">
        <v>947</v>
      </c>
      <c r="G12" s="1640" t="s">
        <v>513</v>
      </c>
      <c r="H12" s="1641" t="e">
        <f>INDEX('Pay Scales'!$G$6:$K$8,MATCH(G12,'Pay Scales'!$G$6:$G$8,0),'Pay Scales'!$U$4+1)*(1+('Pay Scales'!$V$6*('Pay Scales'!$U$4=4)))*(1+('Pay Scales'!$D$2))</f>
        <v>#N/A</v>
      </c>
      <c r="I12" s="1641" t="e">
        <f>H12*D12</f>
        <v>#N/A</v>
      </c>
      <c r="J12" s="1642"/>
      <c r="K12" t="s">
        <v>601</v>
      </c>
      <c r="L12" s="1638" t="s">
        <v>519</v>
      </c>
    </row>
    <row r="13" spans="1:12" ht="16.5" thickBot="1">
      <c r="A13" s="952">
        <v>4</v>
      </c>
      <c r="B13" s="1632"/>
      <c r="C13" s="1633" t="str">
        <f>'INPAT&amp;ANCILLARY-FTE'!D17</f>
        <v>Clerical Support</v>
      </c>
      <c r="D13" s="1634">
        <f>'INPAT&amp;ANCILLARY-FTE'!M17</f>
        <v>0</v>
      </c>
      <c r="E13" t="s">
        <v>946</v>
      </c>
      <c r="F13" t="s">
        <v>947</v>
      </c>
      <c r="G13" s="1644" t="s">
        <v>517</v>
      </c>
      <c r="H13" s="1645" t="e">
        <f>INDEX('Pay Scales'!$C$6:$D$30,MATCH(G13,'Pay Scales'!$C$6:$C$30,0),2)*(1+('Pay Scales'!$V$6*('Pay Scales'!$U$4=4)))*(1+('Pay Scales'!$D$2))</f>
        <v>#N/A</v>
      </c>
      <c r="I13" s="1645" t="e">
        <f>H13*D13</f>
        <v>#N/A</v>
      </c>
      <c r="J13" s="1646"/>
      <c r="K13" t="s">
        <v>601</v>
      </c>
      <c r="L13" s="1638" t="s">
        <v>520</v>
      </c>
    </row>
    <row r="14" spans="1:12" ht="17.25" thickTop="1" thickBot="1">
      <c r="B14" s="1632"/>
      <c r="C14" s="1647" t="s">
        <v>88</v>
      </c>
      <c r="D14" s="1648">
        <f>SUM(D9:D13)</f>
        <v>0</v>
      </c>
      <c r="E14" s="1649"/>
      <c r="F14" s="1649"/>
      <c r="G14" s="1650"/>
      <c r="H14" s="1651"/>
      <c r="I14" s="1651"/>
      <c r="J14" s="1652" t="e">
        <f>SUM(I9:I13)</f>
        <v>#N/A</v>
      </c>
      <c r="K14"/>
      <c r="L14" s="1638" t="s">
        <v>521</v>
      </c>
    </row>
    <row r="15" spans="1:12" ht="16.5" thickTop="1">
      <c r="B15" s="1653" t="s">
        <v>948</v>
      </c>
      <c r="C15" s="1654"/>
      <c r="D15" s="1655"/>
      <c r="E15" s="1656"/>
      <c r="F15" s="1656"/>
      <c r="G15" s="1657"/>
      <c r="H15" s="1656"/>
      <c r="I15" s="1656"/>
      <c r="J15" s="1658"/>
      <c r="K15"/>
      <c r="L15" s="1638" t="s">
        <v>507</v>
      </c>
    </row>
    <row r="16" spans="1:12">
      <c r="A16" s="952">
        <v>5</v>
      </c>
      <c r="B16" s="1632"/>
      <c r="C16" s="1633" t="str">
        <f>'INPAT&amp;ANCILLARY-FTE'!D20</f>
        <v>General Surgeon</v>
      </c>
      <c r="D16" s="1634">
        <f>'INPAT&amp;ANCILLARY-FTE'!M20</f>
        <v>0</v>
      </c>
      <c r="F16" t="s">
        <v>949</v>
      </c>
      <c r="G16" s="1640" t="s">
        <v>513</v>
      </c>
      <c r="H16" s="1641" t="e">
        <f>INDEX('Pay Scales'!$G$6:$K$8,MATCH(G16,'Pay Scales'!$G$6:$G$8,0),'Pay Scales'!$U$4+1)*(1+('Pay Scales'!$V$6*('Pay Scales'!$U$4=4)))*(1+('Pay Scales'!$D$2))</f>
        <v>#N/A</v>
      </c>
      <c r="I16" s="1641" t="e">
        <f>H16*D16</f>
        <v>#N/A</v>
      </c>
      <c r="J16" s="1642"/>
      <c r="K16" t="s">
        <v>601</v>
      </c>
      <c r="L16" s="1638" t="s">
        <v>508</v>
      </c>
    </row>
    <row r="17" spans="1:12">
      <c r="A17" s="952">
        <v>6</v>
      </c>
      <c r="B17" s="1632"/>
      <c r="C17" s="1633" t="str">
        <f>'INPAT&amp;ANCILLARY-FTE'!D21</f>
        <v>OB/GYN Surgeon</v>
      </c>
      <c r="D17" s="1634">
        <f>'INPAT&amp;ANCILLARY-FTE'!M21</f>
        <v>0</v>
      </c>
      <c r="E17" t="s">
        <v>946</v>
      </c>
      <c r="F17" t="s">
        <v>947</v>
      </c>
      <c r="G17" s="1640" t="s">
        <v>513</v>
      </c>
      <c r="H17" s="1641" t="e">
        <f>INDEX('Pay Scales'!$G$6:$K$8,MATCH(G17,'Pay Scales'!$G$6:$G$8,0),'Pay Scales'!$U$4+1)*(1+('Pay Scales'!$V$6*('Pay Scales'!$U$4=4)))*(1+('Pay Scales'!$D$2))</f>
        <v>#N/A</v>
      </c>
      <c r="I17" s="1641" t="e">
        <f>H17*D17</f>
        <v>#N/A</v>
      </c>
      <c r="J17" s="1642"/>
      <c r="K17" t="s">
        <v>601</v>
      </c>
      <c r="L17" s="1638" t="s">
        <v>509</v>
      </c>
    </row>
    <row r="18" spans="1:12">
      <c r="A18" s="952">
        <v>7</v>
      </c>
      <c r="B18" s="1632"/>
      <c r="C18" s="1633" t="str">
        <f>'INPAT&amp;ANCILLARY-FTE'!D22</f>
        <v>Nurse/Midwife</v>
      </c>
      <c r="D18" s="1634">
        <f>'INPAT&amp;ANCILLARY-FTE'!M22</f>
        <v>0</v>
      </c>
      <c r="E18" t="s">
        <v>946</v>
      </c>
      <c r="F18" t="s">
        <v>947</v>
      </c>
      <c r="G18" s="1640" t="s">
        <v>510</v>
      </c>
      <c r="H18" s="1659" t="e">
        <f>INDEX('Pay Scales'!$M$6:$N$11,MATCH(G18,'Pay Scales'!$M$6:$M$11,0),2)*(1+('Pay Scales'!$V$6*('Pay Scales'!$U$4=4)))*(1+('Pay Scales'!$D$2))</f>
        <v>#N/A</v>
      </c>
      <c r="I18" s="1641" t="e">
        <f>H18*D18</f>
        <v>#N/A</v>
      </c>
      <c r="J18" s="1642"/>
      <c r="K18" t="s">
        <v>601</v>
      </c>
      <c r="L18" s="1638" t="s">
        <v>510</v>
      </c>
    </row>
    <row r="19" spans="1:12" ht="16.5" thickBot="1">
      <c r="A19" s="952">
        <v>8</v>
      </c>
      <c r="B19" s="1632"/>
      <c r="C19" s="1633" t="str">
        <f>'INPAT&amp;ANCILLARY-FTE'!D23</f>
        <v>Anethesiologist</v>
      </c>
      <c r="D19" s="1634">
        <f>'INPAT&amp;ANCILLARY-FTE'!M23</f>
        <v>0</v>
      </c>
      <c r="F19" t="s">
        <v>950</v>
      </c>
      <c r="G19" s="1644" t="s">
        <v>512</v>
      </c>
      <c r="H19" s="1645" t="e">
        <f>INDEX('Pay Scales'!$G$6:$K$8,MATCH(G19,'Pay Scales'!$G$6:$G$8,0),'Pay Scales'!$U$4+1)*(1+('Pay Scales'!$V$6*('Pay Scales'!$U$4=4)))*(1+('Pay Scales'!$D$2))</f>
        <v>#N/A</v>
      </c>
      <c r="I19" s="1645" t="e">
        <f>H19*D19</f>
        <v>#N/A</v>
      </c>
      <c r="J19" s="1646"/>
      <c r="K19" t="s">
        <v>601</v>
      </c>
      <c r="L19" s="1638" t="s">
        <v>511</v>
      </c>
    </row>
    <row r="20" spans="1:12" ht="17.25" thickTop="1" thickBot="1">
      <c r="B20" s="1632"/>
      <c r="C20" s="1647" t="s">
        <v>88</v>
      </c>
      <c r="D20" s="1648">
        <f>SUM(D16:D19)</f>
        <v>0</v>
      </c>
      <c r="E20" s="1649"/>
      <c r="F20" s="1649"/>
      <c r="G20" s="1650"/>
      <c r="H20" s="1651"/>
      <c r="I20" s="1651"/>
      <c r="J20" s="1652" t="e">
        <f>SUM(I16:I19)</f>
        <v>#N/A</v>
      </c>
      <c r="K20"/>
      <c r="L20" s="1638" t="s">
        <v>512</v>
      </c>
    </row>
    <row r="21" spans="1:12" ht="16.5" thickTop="1">
      <c r="B21" s="1653" t="s">
        <v>951</v>
      </c>
      <c r="C21" s="1633"/>
      <c r="D21" s="1655"/>
      <c r="E21" s="1656"/>
      <c r="F21" s="1656"/>
      <c r="G21" s="1657"/>
      <c r="H21" s="1656"/>
      <c r="I21" s="1656"/>
      <c r="J21" s="1658"/>
      <c r="K21"/>
      <c r="L21" s="1638" t="s">
        <v>513</v>
      </c>
    </row>
    <row r="22" spans="1:12">
      <c r="A22" s="952">
        <v>209</v>
      </c>
      <c r="B22" s="1653"/>
      <c r="C22" s="1633" t="str">
        <f>'INPAT&amp;ANCILLARY-FTE'!D26</f>
        <v>Nursing Administration</v>
      </c>
      <c r="D22" s="1634">
        <f>'INPAT&amp;ANCILLARY-FTE'!M26</f>
        <v>0</v>
      </c>
      <c r="F22" t="s">
        <v>952</v>
      </c>
      <c r="G22" s="1640" t="s">
        <v>510</v>
      </c>
      <c r="H22" s="1641" t="e">
        <f>INDEX('Pay Scales'!$M$6:$N$11,MATCH(G22,'Pay Scales'!$M$6:$M$11,0),2)*(1+('Pay Scales'!$V$6*('Pay Scales'!$U$4=4)))*(1+('Pay Scales'!$D$2))</f>
        <v>#N/A</v>
      </c>
      <c r="I22" s="1641" t="e">
        <f t="shared" ref="I22:I48" si="0">H22*D22</f>
        <v>#N/A</v>
      </c>
      <c r="J22" s="1642"/>
      <c r="K22" t="s">
        <v>601</v>
      </c>
      <c r="L22" s="1660" t="s">
        <v>953</v>
      </c>
    </row>
    <row r="23" spans="1:12">
      <c r="A23" s="952">
        <v>219</v>
      </c>
      <c r="B23" s="1653"/>
      <c r="C23" s="1633" t="str">
        <f>'INPAT&amp;ANCILLARY-FTE'!D27</f>
        <v>Admin. Clerical Support</v>
      </c>
      <c r="D23" s="1634">
        <f>'INPAT&amp;ANCILLARY-FTE'!M27</f>
        <v>0</v>
      </c>
      <c r="F23" t="s">
        <v>952</v>
      </c>
      <c r="G23" s="1640" t="s">
        <v>517</v>
      </c>
      <c r="H23" s="1641" t="e">
        <f>INDEX('Pay Scales'!$C$6:$D$30,MATCH(G23,'Pay Scales'!$C$6:$C$30,0),2)*(1+('Pay Scales'!$V$6*('Pay Scales'!$U$4=4)))*(1+('Pay Scales'!$D$2))</f>
        <v>#N/A</v>
      </c>
      <c r="I23" s="1641" t="e">
        <f t="shared" si="0"/>
        <v>#N/A</v>
      </c>
      <c r="J23" s="1642"/>
      <c r="K23" t="s">
        <v>601</v>
      </c>
      <c r="L23" s="1660" t="s">
        <v>954</v>
      </c>
    </row>
    <row r="24" spans="1:12">
      <c r="A24" s="952">
        <v>9</v>
      </c>
      <c r="B24" s="1653"/>
      <c r="C24" s="1633" t="str">
        <f>'INPAT&amp;ANCILLARY-FTE'!D28</f>
        <v>GM/SURG-Registered Nurse</v>
      </c>
      <c r="D24" s="1634">
        <f>'INPAT&amp;ANCILLARY-FTE'!M28</f>
        <v>0</v>
      </c>
      <c r="F24" t="s">
        <v>952</v>
      </c>
      <c r="G24" s="1640" t="s">
        <v>508</v>
      </c>
      <c r="H24" s="1641" t="e">
        <f>INDEX('Pay Scales'!$M$6:$N$11,MATCH(G24,'Pay Scales'!$M$6:$M$11,0),2)*(1+('Pay Scales'!$V$6*('Pay Scales'!$U$4=4)))*(1+('Pay Scales'!$D$2))</f>
        <v>#N/A</v>
      </c>
      <c r="I24" s="1641" t="e">
        <f t="shared" si="0"/>
        <v>#N/A</v>
      </c>
      <c r="J24" s="1642"/>
      <c r="K24" t="s">
        <v>601</v>
      </c>
      <c r="L24" s="1660" t="s">
        <v>955</v>
      </c>
    </row>
    <row r="25" spans="1:12">
      <c r="A25" s="952">
        <v>10</v>
      </c>
      <c r="B25" s="1653"/>
      <c r="C25" s="1633" t="str">
        <f>'INPAT&amp;ANCILLARY-FTE'!D29</f>
        <v>GM/SURG-LPN/Technician</v>
      </c>
      <c r="D25" s="1634">
        <f>'INPAT&amp;ANCILLARY-FTE'!M29</f>
        <v>0</v>
      </c>
      <c r="F25" t="s">
        <v>952</v>
      </c>
      <c r="G25" s="1640" t="s">
        <v>519</v>
      </c>
      <c r="H25" s="1641" t="e">
        <f>INDEX('Pay Scales'!$C$6:$D$30,MATCH(G25,'Pay Scales'!$C$6:$C$30,0),2)*(1+('Pay Scales'!$V$6*('Pay Scales'!$U$4=4)))*(1+('Pay Scales'!$D$2))</f>
        <v>#N/A</v>
      </c>
      <c r="I25" s="1641" t="e">
        <f t="shared" si="0"/>
        <v>#N/A</v>
      </c>
      <c r="J25" s="1642"/>
      <c r="K25" t="s">
        <v>601</v>
      </c>
      <c r="L25" s="1660" t="s">
        <v>956</v>
      </c>
    </row>
    <row r="26" spans="1:12">
      <c r="A26" s="952">
        <v>11</v>
      </c>
      <c r="B26" s="1653"/>
      <c r="C26" s="1633" t="str">
        <f>'INPAT&amp;ANCILLARY-FTE'!D30</f>
        <v>GM/SURG-Clerical Support</v>
      </c>
      <c r="D26" s="1634">
        <f>'INPAT&amp;ANCILLARY-FTE'!M30</f>
        <v>0</v>
      </c>
      <c r="F26" t="s">
        <v>952</v>
      </c>
      <c r="G26" s="1640" t="s">
        <v>517</v>
      </c>
      <c r="H26" s="1641" t="e">
        <f>INDEX('Pay Scales'!$C$6:$D$30,MATCH(G26,'Pay Scales'!$C$6:$C$30,0),2)*(1+('Pay Scales'!$V$6*('Pay Scales'!$U$4=4)))*(1+('Pay Scales'!$D$2))</f>
        <v>#N/A</v>
      </c>
      <c r="I26" s="1641" t="e">
        <f t="shared" si="0"/>
        <v>#N/A</v>
      </c>
      <c r="J26" s="1642"/>
      <c r="K26" t="s">
        <v>601</v>
      </c>
      <c r="L26" s="1660" t="s">
        <v>957</v>
      </c>
    </row>
    <row r="27" spans="1:12">
      <c r="A27" s="952">
        <v>12</v>
      </c>
      <c r="B27" s="1653"/>
      <c r="C27" s="1633" t="str">
        <f>'INPAT&amp;ANCILLARY-FTE'!D31</f>
        <v>PED-Registered Nurse</v>
      </c>
      <c r="D27" s="1634">
        <f>'INPAT&amp;ANCILLARY-FTE'!M31</f>
        <v>0</v>
      </c>
      <c r="F27" t="s">
        <v>952</v>
      </c>
      <c r="G27" s="1640" t="s">
        <v>507</v>
      </c>
      <c r="H27" s="1641" t="e">
        <f>INDEX('Pay Scales'!$M$6:$N$11,MATCH(G27,'Pay Scales'!$M$6:$M$11,0),2)*(1+('Pay Scales'!$V$6*('Pay Scales'!$U$4=4)))*(1+('Pay Scales'!$D$2))</f>
        <v>#N/A</v>
      </c>
      <c r="I27" s="1641" t="e">
        <f t="shared" si="0"/>
        <v>#N/A</v>
      </c>
      <c r="J27" s="1642"/>
      <c r="K27" t="s">
        <v>601</v>
      </c>
      <c r="L27" s="1660" t="s">
        <v>958</v>
      </c>
    </row>
    <row r="28" spans="1:12">
      <c r="A28" s="952">
        <v>13</v>
      </c>
      <c r="B28" s="1653"/>
      <c r="C28" s="1633" t="str">
        <f>'INPAT&amp;ANCILLARY-FTE'!D32</f>
        <v>PED-LPN/Technician</v>
      </c>
      <c r="D28" s="1634">
        <f>'INPAT&amp;ANCILLARY-FTE'!M32</f>
        <v>0</v>
      </c>
      <c r="F28" t="s">
        <v>952</v>
      </c>
      <c r="G28" s="1640" t="s">
        <v>519</v>
      </c>
      <c r="H28" s="1641" t="e">
        <f>INDEX('Pay Scales'!$C$6:$D$30,MATCH(G28,'Pay Scales'!$C$6:$C$30,0),2)*(1+('Pay Scales'!$V$6*('Pay Scales'!$U$4=4)))*(1+('Pay Scales'!$D$2))</f>
        <v>#N/A</v>
      </c>
      <c r="I28" s="1641" t="e">
        <f t="shared" si="0"/>
        <v>#N/A</v>
      </c>
      <c r="J28" s="1642"/>
      <c r="K28" t="s">
        <v>601</v>
      </c>
      <c r="L28" s="1660" t="s">
        <v>959</v>
      </c>
    </row>
    <row r="29" spans="1:12">
      <c r="A29" s="952">
        <v>14</v>
      </c>
      <c r="B29" s="1653"/>
      <c r="C29" s="1633" t="str">
        <f>'INPAT&amp;ANCILLARY-FTE'!D33</f>
        <v>PED-Clerical Support</v>
      </c>
      <c r="D29" s="1634">
        <f>'INPAT&amp;ANCILLARY-FTE'!M33</f>
        <v>0</v>
      </c>
      <c r="F29" t="s">
        <v>952</v>
      </c>
      <c r="G29" s="1640" t="s">
        <v>517</v>
      </c>
      <c r="H29" s="1641" t="e">
        <f>INDEX('Pay Scales'!$C$6:$D$30,MATCH(G29,'Pay Scales'!$C$6:$C$30,0),2)*(1+('Pay Scales'!$V$6*('Pay Scales'!$U$4=4)))*(1+('Pay Scales'!$D$2))</f>
        <v>#N/A</v>
      </c>
      <c r="I29" s="1641" t="e">
        <f t="shared" si="0"/>
        <v>#N/A</v>
      </c>
      <c r="J29" s="1642"/>
      <c r="K29" t="s">
        <v>601</v>
      </c>
      <c r="L29" s="1660" t="s">
        <v>960</v>
      </c>
    </row>
    <row r="30" spans="1:12">
      <c r="A30" s="952">
        <v>15</v>
      </c>
      <c r="B30" s="1653"/>
      <c r="C30" s="1633" t="str">
        <f>'INPAT&amp;ANCILLARY-FTE'!D34</f>
        <v>OB/L&amp;D-Registered Nurse</v>
      </c>
      <c r="D30" s="1634">
        <f>'INPAT&amp;ANCILLARY-FTE'!M34</f>
        <v>0</v>
      </c>
      <c r="F30" t="s">
        <v>961</v>
      </c>
      <c r="G30" s="1640" t="s">
        <v>508</v>
      </c>
      <c r="H30" s="1641" t="e">
        <f>INDEX('Pay Scales'!$M$6:$N$11,MATCH(G30,'Pay Scales'!$M$6:$M$11,0),2)*(1+('Pay Scales'!$V$6*('Pay Scales'!$U$4=4)))*(1+('Pay Scales'!$D$2))</f>
        <v>#N/A</v>
      </c>
      <c r="I30" s="1641" t="e">
        <f t="shared" si="0"/>
        <v>#N/A</v>
      </c>
      <c r="J30" s="1642"/>
      <c r="K30" t="s">
        <v>601</v>
      </c>
      <c r="L30" s="1662" t="s">
        <v>962</v>
      </c>
    </row>
    <row r="31" spans="1:12">
      <c r="A31" s="952">
        <v>16</v>
      </c>
      <c r="B31" s="1653"/>
      <c r="C31" s="1633" t="str">
        <f>'INPAT&amp;ANCILLARY-FTE'!D35</f>
        <v>OB/L&amp;D, LPN/Technician</v>
      </c>
      <c r="D31" s="1634">
        <f>'INPAT&amp;ANCILLARY-FTE'!M35</f>
        <v>0</v>
      </c>
      <c r="F31" t="s">
        <v>961</v>
      </c>
      <c r="G31" s="1640" t="s">
        <v>519</v>
      </c>
      <c r="H31" s="1641" t="e">
        <f>INDEX('Pay Scales'!$C$6:$D$30,MATCH(G31,'Pay Scales'!$C$6:$C$30,0),2)*(1+('Pay Scales'!$V$6*('Pay Scales'!$U$4=4)))*(1+('Pay Scales'!$D$2))</f>
        <v>#N/A</v>
      </c>
      <c r="I31" s="1641" t="e">
        <f t="shared" si="0"/>
        <v>#N/A</v>
      </c>
      <c r="J31" s="1642"/>
      <c r="K31" t="s">
        <v>601</v>
      </c>
    </row>
    <row r="32" spans="1:12">
      <c r="A32" s="952">
        <v>17</v>
      </c>
      <c r="B32" s="1653"/>
      <c r="C32" s="1633" t="str">
        <f>'INPAT&amp;ANCILLARY-FTE'!D36</f>
        <v>OB/L&amp;D- Clerical Support</v>
      </c>
      <c r="D32" s="1634">
        <f>'INPAT&amp;ANCILLARY-FTE'!M36</f>
        <v>0</v>
      </c>
      <c r="F32" t="s">
        <v>961</v>
      </c>
      <c r="G32" s="1640" t="s">
        <v>517</v>
      </c>
      <c r="H32" s="1641" t="e">
        <f>INDEX('Pay Scales'!$C$6:$D$30,MATCH(G32,'Pay Scales'!$C$6:$C$30,0),2)*(1+('Pay Scales'!$V$6*('Pay Scales'!$U$4=4)))*(1+('Pay Scales'!$D$2))</f>
        <v>#N/A</v>
      </c>
      <c r="I32" s="1641" t="e">
        <f t="shared" si="0"/>
        <v>#N/A</v>
      </c>
      <c r="J32" s="1642"/>
      <c r="K32" t="s">
        <v>601</v>
      </c>
    </row>
    <row r="33" spans="1:11">
      <c r="A33" s="952">
        <v>20</v>
      </c>
      <c r="B33" s="1653"/>
      <c r="C33" s="1633" t="str">
        <f>'INPAT&amp;ANCILLARY-FTE'!D37</f>
        <v>Nursery, RN, Fixed</v>
      </c>
      <c r="D33" s="1634">
        <f>'INPAT&amp;ANCILLARY-FTE'!M37</f>
        <v>0</v>
      </c>
      <c r="F33" t="s">
        <v>961</v>
      </c>
      <c r="G33" s="1640" t="s">
        <v>507</v>
      </c>
      <c r="H33" s="1641" t="e">
        <f>INDEX('Pay Scales'!$M$6:$N$11,MATCH(G33,'Pay Scales'!$M$6:$M$11,0),2)*(1+('Pay Scales'!$V$6*('Pay Scales'!$U$4=4)))*(1+('Pay Scales'!$D$2))</f>
        <v>#N/A</v>
      </c>
      <c r="I33" s="1641" t="e">
        <f t="shared" si="0"/>
        <v>#N/A</v>
      </c>
      <c r="J33" s="1642"/>
      <c r="K33" t="s">
        <v>601</v>
      </c>
    </row>
    <row r="34" spans="1:11">
      <c r="A34" s="952">
        <v>21</v>
      </c>
      <c r="B34" s="1653"/>
      <c r="C34" s="1633" t="str">
        <f>'INPAT&amp;ANCILLARY-FTE'!D38</f>
        <v>Nursery LPN/Technician</v>
      </c>
      <c r="D34" s="1634">
        <f>'INPAT&amp;ANCILLARY-FTE'!M38</f>
        <v>0</v>
      </c>
      <c r="F34" t="s">
        <v>961</v>
      </c>
      <c r="G34" s="1640" t="s">
        <v>519</v>
      </c>
      <c r="H34" s="1641" t="e">
        <f>INDEX('Pay Scales'!$C$6:$D$30,MATCH(G34,'Pay Scales'!$C$6:$C$30,0),2)*(1+('Pay Scales'!$V$6*('Pay Scales'!$U$4=4)))*(1+('Pay Scales'!$D$2))</f>
        <v>#N/A</v>
      </c>
      <c r="I34" s="1641" t="e">
        <f t="shared" si="0"/>
        <v>#N/A</v>
      </c>
      <c r="J34" s="1642"/>
      <c r="K34" t="s">
        <v>601</v>
      </c>
    </row>
    <row r="35" spans="1:11">
      <c r="A35" s="952">
        <v>22</v>
      </c>
      <c r="B35" s="1653"/>
      <c r="C35" s="1633" t="str">
        <f>'INPAT&amp;ANCILLARY-FTE'!D39</f>
        <v>Nursery, Clerical Support</v>
      </c>
      <c r="D35" s="1634">
        <f>'INPAT&amp;ANCILLARY-FTE'!M39</f>
        <v>0</v>
      </c>
      <c r="F35" t="s">
        <v>961</v>
      </c>
      <c r="G35" s="1640" t="s">
        <v>517</v>
      </c>
      <c r="H35" s="1641" t="e">
        <f>INDEX('Pay Scales'!$C$6:$D$30,MATCH(G35,'Pay Scales'!$C$6:$C$30,0),2)*(1+('Pay Scales'!$V$6*('Pay Scales'!$U$4=4)))*(1+('Pay Scales'!$D$2))</f>
        <v>#N/A</v>
      </c>
      <c r="I35" s="1641" t="e">
        <f t="shared" si="0"/>
        <v>#N/A</v>
      </c>
      <c r="J35" s="1642"/>
      <c r="K35" t="s">
        <v>601</v>
      </c>
    </row>
    <row r="36" spans="1:11">
      <c r="A36" s="952">
        <v>23</v>
      </c>
      <c r="B36" s="1653"/>
      <c r="C36" s="1633" t="str">
        <f>'INPAT&amp;ANCILLARY-FTE'!D40</f>
        <v>ICU, RN</v>
      </c>
      <c r="D36" s="1634">
        <f>'INPAT&amp;ANCILLARY-FTE'!M40</f>
        <v>0</v>
      </c>
      <c r="F36" t="s">
        <v>963</v>
      </c>
      <c r="G36" s="1640" t="s">
        <v>508</v>
      </c>
      <c r="H36" s="1641" t="e">
        <f>INDEX('Pay Scales'!$M$6:$N$11,MATCH(G36,'Pay Scales'!$M$6:$M$11,0),2)*(1+('Pay Scales'!$V$6*('Pay Scales'!$U$4=4)))*(1+('Pay Scales'!$D$2))</f>
        <v>#N/A</v>
      </c>
      <c r="I36" s="1641" t="e">
        <f t="shared" si="0"/>
        <v>#N/A</v>
      </c>
      <c r="J36" s="1642"/>
      <c r="K36" t="s">
        <v>601</v>
      </c>
    </row>
    <row r="37" spans="1:11">
      <c r="A37" s="952">
        <v>76</v>
      </c>
      <c r="B37" s="1653"/>
      <c r="C37" s="1633" t="str">
        <f>'INPAT&amp;ANCILLARY-FTE'!D41</f>
        <v>ICU, Clerical Support</v>
      </c>
      <c r="D37" s="1634">
        <f>'INPAT&amp;ANCILLARY-FTE'!M41</f>
        <v>0</v>
      </c>
      <c r="F37" t="s">
        <v>963</v>
      </c>
      <c r="G37" s="1640" t="s">
        <v>517</v>
      </c>
      <c r="H37" s="1641" t="e">
        <f>INDEX('Pay Scales'!$C$6:$D$30,MATCH(G37,'Pay Scales'!$C$6:$C$30,0),2)*(1+('Pay Scales'!$V$6*('Pay Scales'!$U$4=4)))*(1+('Pay Scales'!$D$2))</f>
        <v>#N/A</v>
      </c>
      <c r="I37" s="1641" t="e">
        <f t="shared" si="0"/>
        <v>#N/A</v>
      </c>
      <c r="J37" s="1642"/>
      <c r="K37" t="s">
        <v>601</v>
      </c>
    </row>
    <row r="38" spans="1:11">
      <c r="A38" s="952">
        <v>24</v>
      </c>
      <c r="B38" s="1653"/>
      <c r="C38" s="1633" t="str">
        <f>'INPAT&amp;ANCILLARY-FTE'!D42</f>
        <v>OR  RN</v>
      </c>
      <c r="D38" s="1634">
        <f>'INPAT&amp;ANCILLARY-FTE'!M42</f>
        <v>0</v>
      </c>
      <c r="F38" t="s">
        <v>964</v>
      </c>
      <c r="G38" s="1640" t="s">
        <v>508</v>
      </c>
      <c r="H38" s="1641" t="e">
        <f>INDEX('Pay Scales'!$M$6:$N$11,MATCH(G38,'Pay Scales'!$M$6:$M$11,0),2)*(1+('Pay Scales'!$V$6*('Pay Scales'!$U$4=4)))*(1+('Pay Scales'!$D$2))</f>
        <v>#N/A</v>
      </c>
      <c r="I38" s="1641" t="e">
        <f t="shared" si="0"/>
        <v>#N/A</v>
      </c>
      <c r="J38" s="1642"/>
      <c r="K38" t="s">
        <v>601</v>
      </c>
    </row>
    <row r="39" spans="1:11">
      <c r="A39" s="952">
        <v>25</v>
      </c>
      <c r="B39" s="1653"/>
      <c r="C39" s="1633" t="str">
        <f>'INPAT&amp;ANCILLARY-FTE'!D43</f>
        <v>OR, LPN/Technician</v>
      </c>
      <c r="D39" s="1634">
        <f>'INPAT&amp;ANCILLARY-FTE'!M43</f>
        <v>0</v>
      </c>
      <c r="F39" t="s">
        <v>964</v>
      </c>
      <c r="G39" s="1640" t="s">
        <v>519</v>
      </c>
      <c r="H39" s="1641" t="e">
        <f>INDEX('Pay Scales'!$C$6:$D$30,MATCH(G39,'Pay Scales'!$C$6:$C$30,0),2)*(1+('Pay Scales'!$V$6*('Pay Scales'!$U$4=4)))*(1+('Pay Scales'!$D$2))</f>
        <v>#N/A</v>
      </c>
      <c r="I39" s="1641" t="e">
        <f t="shared" si="0"/>
        <v>#N/A</v>
      </c>
      <c r="J39" s="1642"/>
      <c r="K39" t="s">
        <v>601</v>
      </c>
    </row>
    <row r="40" spans="1:11">
      <c r="A40" s="952">
        <v>26</v>
      </c>
      <c r="B40" s="1653"/>
      <c r="C40" s="1633" t="str">
        <f>'INPAT&amp;ANCILLARY-FTE'!D44</f>
        <v>Post Anesthesia Recovery, RN</v>
      </c>
      <c r="D40" s="1634">
        <f>'INPAT&amp;ANCILLARY-FTE'!M44</f>
        <v>0</v>
      </c>
      <c r="F40" t="s">
        <v>964</v>
      </c>
      <c r="G40" s="1640" t="s">
        <v>507</v>
      </c>
      <c r="H40" s="1641" t="e">
        <f>INDEX('Pay Scales'!$M$6:$N$11,MATCH(G40,'Pay Scales'!$M$6:$M$11,0),2)*(1+('Pay Scales'!$V$6*('Pay Scales'!$U$4=4)))*(1+('Pay Scales'!$D$2))</f>
        <v>#N/A</v>
      </c>
      <c r="I40" s="1641" t="e">
        <f t="shared" si="0"/>
        <v>#N/A</v>
      </c>
      <c r="J40" s="1642"/>
      <c r="K40" t="s">
        <v>601</v>
      </c>
    </row>
    <row r="41" spans="1:11">
      <c r="A41" s="952">
        <v>27</v>
      </c>
      <c r="B41" s="1653"/>
      <c r="C41" s="1633" t="str">
        <f>'INPAT&amp;ANCILLARY-FTE'!D45</f>
        <v>Ambulatory Surgery, RN</v>
      </c>
      <c r="D41" s="1634">
        <f>'INPAT&amp;ANCILLARY-FTE'!M45</f>
        <v>0</v>
      </c>
      <c r="F41" t="s">
        <v>964</v>
      </c>
      <c r="G41" s="1640" t="s">
        <v>507</v>
      </c>
      <c r="H41" s="1641" t="e">
        <f>INDEX('Pay Scales'!$M$6:$N$11,MATCH(G41,'Pay Scales'!$M$6:$M$11,0),2)*(1+('Pay Scales'!$V$6*('Pay Scales'!$U$4=4)))*(1+('Pay Scales'!$D$2))</f>
        <v>#N/A</v>
      </c>
      <c r="I41" s="1641" t="e">
        <f t="shared" si="0"/>
        <v>#N/A</v>
      </c>
      <c r="J41" s="1642"/>
      <c r="K41" t="s">
        <v>601</v>
      </c>
    </row>
    <row r="42" spans="1:11">
      <c r="A42" s="952">
        <v>28</v>
      </c>
      <c r="B42" s="1653"/>
      <c r="C42" s="1633" t="str">
        <f>'INPAT&amp;ANCILLARY-FTE'!D46</f>
        <v>Psych-RN, Fixed</v>
      </c>
      <c r="D42" s="1634">
        <f>'INPAT&amp;ANCILLARY-FTE'!M46</f>
        <v>0</v>
      </c>
      <c r="F42" t="s">
        <v>965</v>
      </c>
      <c r="G42" s="1640" t="s">
        <v>507</v>
      </c>
      <c r="H42" s="1641" t="e">
        <f>INDEX('Pay Scales'!$M$6:$N$11,MATCH(G42,'Pay Scales'!$M$6:$M$11,0),2)*(1+('Pay Scales'!$V$6*('Pay Scales'!$U$4=4)))*(1+('Pay Scales'!$D$2))</f>
        <v>#N/A</v>
      </c>
      <c r="I42" s="1641" t="e">
        <f t="shared" si="0"/>
        <v>#N/A</v>
      </c>
      <c r="J42" s="1642"/>
      <c r="K42" t="s">
        <v>601</v>
      </c>
    </row>
    <row r="43" spans="1:11">
      <c r="A43" s="952">
        <v>29</v>
      </c>
      <c r="B43" s="1653"/>
      <c r="C43" s="1633" t="str">
        <f>'INPAT&amp;ANCILLARY-FTE'!D47</f>
        <v>Psych, LPN Technican</v>
      </c>
      <c r="D43" s="1634">
        <f>'INPAT&amp;ANCILLARY-FTE'!M47</f>
        <v>0</v>
      </c>
      <c r="F43" t="s">
        <v>965</v>
      </c>
      <c r="G43" s="1640" t="s">
        <v>519</v>
      </c>
      <c r="H43" s="1641" t="e">
        <f>INDEX('Pay Scales'!$C$6:$D$30,MATCH(G43,'Pay Scales'!$C$6:$C$30,0),2)*(1+('Pay Scales'!$V$6*('Pay Scales'!$U$4=4)))*(1+('Pay Scales'!$D$2))</f>
        <v>#N/A</v>
      </c>
      <c r="I43" s="1641" t="e">
        <f t="shared" si="0"/>
        <v>#N/A</v>
      </c>
      <c r="J43" s="1642"/>
      <c r="K43" t="s">
        <v>601</v>
      </c>
    </row>
    <row r="44" spans="1:11">
      <c r="A44" s="952">
        <v>30</v>
      </c>
      <c r="B44" s="1653"/>
      <c r="C44" s="1633" t="str">
        <f>'INPAT&amp;ANCILLARY-FTE'!D48</f>
        <v>Psych, Clerical Support</v>
      </c>
      <c r="D44" s="1634">
        <f>'INPAT&amp;ANCILLARY-FTE'!M48</f>
        <v>0</v>
      </c>
      <c r="F44" t="s">
        <v>965</v>
      </c>
      <c r="G44" s="1640" t="s">
        <v>517</v>
      </c>
      <c r="H44" s="1641" t="e">
        <f>INDEX('Pay Scales'!$C$6:$D$30,MATCH(G44,'Pay Scales'!$C$6:$C$30,0),2)*(1+('Pay Scales'!$V$6*('Pay Scales'!$U$4=4)))*(1+('Pay Scales'!$D$2))</f>
        <v>#N/A</v>
      </c>
      <c r="I44" s="1641" t="e">
        <f t="shared" si="0"/>
        <v>#N/A</v>
      </c>
      <c r="J44" s="1642"/>
      <c r="K44" t="s">
        <v>601</v>
      </c>
    </row>
    <row r="45" spans="1:11">
      <c r="A45" s="952">
        <v>404</v>
      </c>
      <c r="B45" s="1653"/>
      <c r="C45" s="1633" t="str">
        <f>'INPAT&amp;ANCILLARY-FTE'!D49</f>
        <v>Certified Nurse Assistant</v>
      </c>
      <c r="D45" s="1634">
        <f>'INPAT&amp;ANCILLARY-FTE'!M49</f>
        <v>0</v>
      </c>
      <c r="G45" s="1640" t="s">
        <v>507</v>
      </c>
      <c r="H45" s="1641" t="e">
        <f>INDEX('Pay Scales'!$M$6:$N$11,MATCH(G45,'Pay Scales'!$M$6:$M$11,0),2)*(1+('Pay Scales'!$V$6*('Pay Scales'!$U$4=4)))*(1+('Pay Scales'!$D$2))</f>
        <v>#N/A</v>
      </c>
      <c r="I45" s="1641" t="e">
        <f t="shared" si="0"/>
        <v>#N/A</v>
      </c>
      <c r="J45" s="1642"/>
      <c r="K45" t="s">
        <v>601</v>
      </c>
    </row>
    <row r="46" spans="1:11">
      <c r="A46" s="952">
        <v>405</v>
      </c>
      <c r="B46" s="1653"/>
      <c r="C46" s="1633" t="str">
        <f>'INPAT&amp;ANCILLARY-FTE'!D50</f>
        <v>Multifunction Registered Nurse</v>
      </c>
      <c r="D46" s="1634">
        <f>'INPAT&amp;ANCILLARY-FTE'!M50</f>
        <v>0</v>
      </c>
      <c r="G46" s="1640" t="s">
        <v>507</v>
      </c>
      <c r="H46" s="1641" t="e">
        <f>INDEX('Pay Scales'!$M$6:$N$11,MATCH(G46,'Pay Scales'!$M$6:$M$11,0),2)*(1+('Pay Scales'!$V$6*('Pay Scales'!$U$4=4)))*(1+('Pay Scales'!$D$2))</f>
        <v>#N/A</v>
      </c>
      <c r="I46" s="1641" t="e">
        <f t="shared" si="0"/>
        <v>#N/A</v>
      </c>
      <c r="J46" s="1642"/>
      <c r="K46" t="s">
        <v>601</v>
      </c>
    </row>
    <row r="47" spans="1:11">
      <c r="A47" s="952">
        <v>406</v>
      </c>
      <c r="B47" s="1653"/>
      <c r="C47" s="1633" t="str">
        <f>'INPAT&amp;ANCILLARY-FTE'!D51</f>
        <v>Transport/Lift</v>
      </c>
      <c r="D47" s="1634">
        <f>'INPAT&amp;ANCILLARY-FTE'!M51</f>
        <v>0</v>
      </c>
      <c r="G47" s="1640" t="s">
        <v>517</v>
      </c>
      <c r="H47" s="1641" t="e">
        <f>INDEX('Pay Scales'!$C$6:$D$30,MATCH(G47,'Pay Scales'!$C$6:$C$30,0),2)*(1+('Pay Scales'!$V$6*('Pay Scales'!$U$4=4)))*(1+('Pay Scales'!$D$2))</f>
        <v>#N/A</v>
      </c>
      <c r="I47" s="1641" t="e">
        <f t="shared" si="0"/>
        <v>#N/A</v>
      </c>
      <c r="J47" s="1642"/>
      <c r="K47" t="s">
        <v>601</v>
      </c>
    </row>
    <row r="48" spans="1:11" ht="16.5" thickBot="1">
      <c r="A48" s="952">
        <v>224</v>
      </c>
      <c r="B48" s="1653"/>
      <c r="C48" s="1661" t="str">
        <f>'INPAT&amp;ANCILLARY-FTE'!D52</f>
        <v>Nurse Educator</v>
      </c>
      <c r="D48" s="1634">
        <f>'INPAT&amp;ANCILLARY-FTE'!M52</f>
        <v>0</v>
      </c>
      <c r="G48" s="1640" t="s">
        <v>517</v>
      </c>
      <c r="H48" s="1641" t="e">
        <f>INDEX('Pay Scales'!$C$6:$D$30,MATCH(G48,'Pay Scales'!$C$6:$C$30,0),2)*(1+('Pay Scales'!$V$6*('Pay Scales'!$U$4=4)))*(1+('Pay Scales'!$D$2))</f>
        <v>#N/A</v>
      </c>
      <c r="I48" s="1641" t="e">
        <f t="shared" si="0"/>
        <v>#N/A</v>
      </c>
      <c r="J48" s="1642"/>
      <c r="K48" t="s">
        <v>601</v>
      </c>
    </row>
    <row r="49" spans="1:11" ht="17.25" thickTop="1" thickBot="1">
      <c r="B49" s="1653"/>
      <c r="C49" s="1647" t="s">
        <v>88</v>
      </c>
      <c r="D49" s="1648">
        <f>SUM(D22:D48)</f>
        <v>0</v>
      </c>
      <c r="E49" s="1649"/>
      <c r="F49" s="1649"/>
      <c r="G49" s="1650"/>
      <c r="H49" s="1651"/>
      <c r="I49" s="1651"/>
      <c r="J49" s="1652" t="e">
        <f>SUM(I22:I48)</f>
        <v>#N/A</v>
      </c>
      <c r="K49"/>
    </row>
    <row r="50" spans="1:11" ht="16.5" thickTop="1">
      <c r="B50" s="1663" t="s">
        <v>966</v>
      </c>
      <c r="C50" s="1664"/>
      <c r="D50" s="1655"/>
      <c r="E50" s="1656"/>
      <c r="F50" s="1656"/>
      <c r="G50" s="1657"/>
      <c r="H50" s="1656"/>
      <c r="I50" s="1656"/>
      <c r="J50" s="1658"/>
      <c r="K50"/>
    </row>
    <row r="51" spans="1:11">
      <c r="B51" s="1632"/>
      <c r="C51" s="1633" t="str">
        <f>'INPAT&amp;ANCILLARY-FTE'!D61</f>
        <v>INP_Adjustment 1</v>
      </c>
      <c r="D51" s="1639">
        <f>'INPAT&amp;ANCILLARY-FTE'!M61</f>
        <v>0</v>
      </c>
      <c r="G51" s="1640" t="s">
        <v>430</v>
      </c>
      <c r="H51" s="1641" t="e">
        <f>INDEX('Pay Scales'!$C$5:$D$30,MATCH(G51,'Pay Scales'!$C$5:$C$30,0),2)*(1+('Pay Scales'!$V$6*('Pay Scales'!$U$4=4)))*(1+('Pay Scales'!$D$2))</f>
        <v>#N/A</v>
      </c>
      <c r="I51" s="1641" t="e">
        <f t="shared" ref="I51:I59" si="1">H51*D51</f>
        <v>#N/A</v>
      </c>
      <c r="J51" s="1642"/>
      <c r="K51" t="s">
        <v>601</v>
      </c>
    </row>
    <row r="52" spans="1:11">
      <c r="B52" s="1632"/>
      <c r="C52" s="1633" t="str">
        <f>'INPAT&amp;ANCILLARY-FTE'!D62</f>
        <v>INP_Adjustment 2</v>
      </c>
      <c r="D52" s="1639">
        <f>'INPAT&amp;ANCILLARY-FTE'!M62</f>
        <v>0</v>
      </c>
      <c r="G52" s="1640" t="s">
        <v>430</v>
      </c>
      <c r="H52" s="1641" t="e">
        <f>INDEX('Pay Scales'!$C$5:$D$30,MATCH(G52,'Pay Scales'!$C$5:$C$30,0),2)*(1+('Pay Scales'!$V$6*('Pay Scales'!$U$4=4)))*(1+('Pay Scales'!$D$2))</f>
        <v>#N/A</v>
      </c>
      <c r="I52" s="1641" t="e">
        <f t="shared" si="1"/>
        <v>#N/A</v>
      </c>
      <c r="J52" s="1642"/>
      <c r="K52" t="s">
        <v>601</v>
      </c>
    </row>
    <row r="53" spans="1:11">
      <c r="B53" s="1632"/>
      <c r="C53" s="1633" t="str">
        <f>'INPAT&amp;ANCILLARY-FTE'!D63</f>
        <v>INP_Adjustment 3</v>
      </c>
      <c r="D53" s="1639">
        <f>'INPAT&amp;ANCILLARY-FTE'!M63</f>
        <v>0</v>
      </c>
      <c r="G53" s="1640" t="s">
        <v>430</v>
      </c>
      <c r="H53" s="1641" t="e">
        <f>INDEX('Pay Scales'!$C$5:$D$30,MATCH(G53,'Pay Scales'!$C$5:$C$30,0),2)*(1+('Pay Scales'!$V$6*('Pay Scales'!$U$4=4)))*(1+('Pay Scales'!$D$2))</f>
        <v>#N/A</v>
      </c>
      <c r="I53" s="1641" t="e">
        <f t="shared" si="1"/>
        <v>#N/A</v>
      </c>
      <c r="J53" s="1642"/>
      <c r="K53" t="s">
        <v>601</v>
      </c>
    </row>
    <row r="54" spans="1:11">
      <c r="B54" s="1632"/>
      <c r="C54" s="1633" t="str">
        <f>'INPAT&amp;ANCILLARY-FTE'!D64</f>
        <v>INP_Adjustment 4</v>
      </c>
      <c r="D54" s="1639">
        <f>'INPAT&amp;ANCILLARY-FTE'!M64</f>
        <v>0</v>
      </c>
      <c r="G54" s="1640" t="s">
        <v>430</v>
      </c>
      <c r="H54" s="1641" t="e">
        <f>INDEX('Pay Scales'!$C$5:$D$30,MATCH(G54,'Pay Scales'!$C$5:$C$30,0),2)*(1+('Pay Scales'!$V$6*('Pay Scales'!$U$4=4)))*(1+('Pay Scales'!$D$2))</f>
        <v>#N/A</v>
      </c>
      <c r="I54" s="1641" t="e">
        <f t="shared" si="1"/>
        <v>#N/A</v>
      </c>
      <c r="J54" s="1642"/>
      <c r="K54" t="s">
        <v>601</v>
      </c>
    </row>
    <row r="55" spans="1:11">
      <c r="B55" s="1632"/>
      <c r="C55" s="1633" t="str">
        <f>'INPAT&amp;ANCILLARY-FTE'!D65</f>
        <v>INP_Adjustment 5</v>
      </c>
      <c r="D55" s="1639">
        <f>'INPAT&amp;ANCILLARY-FTE'!M65</f>
        <v>0</v>
      </c>
      <c r="G55" s="1640" t="s">
        <v>430</v>
      </c>
      <c r="H55" s="1641" t="e">
        <f>INDEX('Pay Scales'!$C$5:$D$30,MATCH(G55,'Pay Scales'!$C$5:$C$30,0),2)*(1+('Pay Scales'!$V$6*('Pay Scales'!$U$4=4)))*(1+('Pay Scales'!$D$2))</f>
        <v>#N/A</v>
      </c>
      <c r="I55" s="1641" t="e">
        <f t="shared" si="1"/>
        <v>#N/A</v>
      </c>
      <c r="J55" s="1642"/>
      <c r="K55" t="s">
        <v>601</v>
      </c>
    </row>
    <row r="56" spans="1:11">
      <c r="B56" s="1632"/>
      <c r="C56" s="1633" t="str">
        <f>'INPAT&amp;ANCILLARY-FTE'!D66</f>
        <v>INP_Adjustment 6</v>
      </c>
      <c r="D56" s="1639">
        <f>'INPAT&amp;ANCILLARY-FTE'!M66</f>
        <v>0</v>
      </c>
      <c r="G56" s="1640" t="s">
        <v>430</v>
      </c>
      <c r="H56" s="1641" t="e">
        <f>INDEX('Pay Scales'!$C$5:$D$30,MATCH(G56,'Pay Scales'!$C$5:$C$30,0),2)*(1+('Pay Scales'!$V$6*('Pay Scales'!$U$4=4)))*(1+('Pay Scales'!$D$2))</f>
        <v>#N/A</v>
      </c>
      <c r="I56" s="1641" t="e">
        <f t="shared" si="1"/>
        <v>#N/A</v>
      </c>
      <c r="J56" s="1642"/>
      <c r="K56" t="s">
        <v>601</v>
      </c>
    </row>
    <row r="57" spans="1:11">
      <c r="B57" s="1632"/>
      <c r="C57" s="1633" t="str">
        <f>'INPAT&amp;ANCILLARY-FTE'!D67</f>
        <v>INP_Adjustment 7</v>
      </c>
      <c r="D57" s="1639">
        <f>'INPAT&amp;ANCILLARY-FTE'!M67</f>
        <v>0</v>
      </c>
      <c r="G57" s="1640" t="s">
        <v>430</v>
      </c>
      <c r="H57" s="1641" t="e">
        <f>INDEX('Pay Scales'!$C$5:$D$30,MATCH(G57,'Pay Scales'!$C$5:$C$30,0),2)*(1+('Pay Scales'!$V$6*('Pay Scales'!$U$4=4)))*(1+('Pay Scales'!$D$2))</f>
        <v>#N/A</v>
      </c>
      <c r="I57" s="1641" t="e">
        <f t="shared" si="1"/>
        <v>#N/A</v>
      </c>
      <c r="J57" s="1642"/>
      <c r="K57" t="s">
        <v>601</v>
      </c>
    </row>
    <row r="58" spans="1:11">
      <c r="B58" s="1632"/>
      <c r="C58" s="1633" t="str">
        <f>'INPAT&amp;ANCILLARY-FTE'!D68</f>
        <v>INP_Adjustment 8</v>
      </c>
      <c r="D58" s="1639">
        <f>'INPAT&amp;ANCILLARY-FTE'!M68</f>
        <v>0</v>
      </c>
      <c r="G58" s="1640" t="s">
        <v>430</v>
      </c>
      <c r="H58" s="1641" t="e">
        <f>INDEX('Pay Scales'!$C$5:$D$30,MATCH(G58,'Pay Scales'!$C$5:$C$30,0),2)*(1+('Pay Scales'!$V$6*('Pay Scales'!$U$4=4)))*(1+('Pay Scales'!$D$2))</f>
        <v>#N/A</v>
      </c>
      <c r="I58" s="1641" t="e">
        <f t="shared" si="1"/>
        <v>#N/A</v>
      </c>
      <c r="J58" s="1642"/>
      <c r="K58" t="s">
        <v>601</v>
      </c>
    </row>
    <row r="59" spans="1:11" ht="16.5" thickBot="1">
      <c r="B59" s="1632"/>
      <c r="C59" s="1633" t="str">
        <f>'INPAT&amp;ANCILLARY-FTE'!D69</f>
        <v>INP_Adjustment 9</v>
      </c>
      <c r="D59" s="1639">
        <f>'INPAT&amp;ANCILLARY-FTE'!M69</f>
        <v>0</v>
      </c>
      <c r="G59" s="1644" t="s">
        <v>430</v>
      </c>
      <c r="H59" s="1645" t="e">
        <f>INDEX('Pay Scales'!$C$5:$D$30,MATCH(G59,'Pay Scales'!$C$5:$C$30,0),2)*(1+('Pay Scales'!$V$6*('Pay Scales'!$U$4=4)))*(1+('Pay Scales'!$D$2))</f>
        <v>#N/A</v>
      </c>
      <c r="I59" s="1645" t="e">
        <f t="shared" si="1"/>
        <v>#N/A</v>
      </c>
      <c r="J59" s="1646"/>
      <c r="K59" t="s">
        <v>601</v>
      </c>
    </row>
    <row r="60" spans="1:11" ht="16.5" thickTop="1">
      <c r="B60" s="1632"/>
      <c r="C60" s="1666" t="s">
        <v>88</v>
      </c>
      <c r="D60" s="1648">
        <f>SUM(D51:D59)</f>
        <v>0</v>
      </c>
      <c r="E60" s="1649"/>
      <c r="F60" s="1649"/>
      <c r="G60" s="1650"/>
      <c r="H60" s="1651"/>
      <c r="I60" s="1651"/>
      <c r="J60" s="1652" t="e">
        <f>SUM(I51:I59)</f>
        <v>#N/A</v>
      </c>
      <c r="K60"/>
    </row>
    <row r="61" spans="1:11" ht="18.75" customHeight="1" thickBot="1">
      <c r="A61" s="1619"/>
      <c r="B61" s="1667" t="s">
        <v>967</v>
      </c>
      <c r="C61" s="1668"/>
      <c r="D61" s="1669">
        <f>D14+D20+D49+D60</f>
        <v>0</v>
      </c>
      <c r="E61" s="1670"/>
      <c r="F61" s="1670"/>
      <c r="G61" s="1671"/>
      <c r="H61" s="1672"/>
      <c r="I61" s="1672"/>
      <c r="J61" s="1673"/>
      <c r="K61"/>
    </row>
    <row r="62" spans="1:11" ht="16.5" thickTop="1">
      <c r="B62" s="1960" t="s">
        <v>968</v>
      </c>
      <c r="C62" s="1961"/>
      <c r="D62" s="1620"/>
      <c r="E62" s="1621"/>
      <c r="F62" s="1621"/>
      <c r="G62" s="1622"/>
      <c r="H62" s="1621"/>
      <c r="I62" s="1621"/>
      <c r="J62" s="1623"/>
      <c r="K62"/>
    </row>
    <row r="63" spans="1:11" ht="16.5" thickBot="1">
      <c r="B63" s="1653" t="s">
        <v>969</v>
      </c>
      <c r="C63" s="1674"/>
      <c r="D63" s="1627"/>
      <c r="E63" s="1628"/>
      <c r="F63" s="1628"/>
      <c r="G63" s="1629"/>
      <c r="H63" s="1628"/>
      <c r="I63" s="1628"/>
      <c r="J63" s="1630"/>
      <c r="K63"/>
    </row>
    <row r="64" spans="1:11">
      <c r="A64" s="952">
        <v>201</v>
      </c>
      <c r="B64" s="1632"/>
      <c r="C64" s="1633" t="str">
        <f>'AMB-FTE'!D35</f>
        <v>ED Medical Director</v>
      </c>
      <c r="D64" s="1639">
        <f>'AMB-FTE'!M35</f>
        <v>0</v>
      </c>
      <c r="F64" t="s">
        <v>970</v>
      </c>
      <c r="G64" s="1640" t="s">
        <v>512</v>
      </c>
      <c r="H64" s="1641" t="e">
        <f>INDEX('Pay Scales'!$G$6:$K$8,MATCH(G64,'Pay Scales'!$G$6:$G$8,0),'Pay Scales'!$U$4+1)*(1+('Pay Scales'!$V$6*('Pay Scales'!$U$4=4)))*(1+('Pay Scales'!$D$2))</f>
        <v>#N/A</v>
      </c>
      <c r="I64" s="1641" t="e">
        <f t="shared" ref="I64:I70" si="2">H64*D64</f>
        <v>#N/A</v>
      </c>
      <c r="J64" s="1642"/>
      <c r="K64" t="s">
        <v>601</v>
      </c>
    </row>
    <row r="65" spans="1:11">
      <c r="A65" s="952">
        <v>32</v>
      </c>
      <c r="B65" s="1632"/>
      <c r="C65" s="1633" t="str">
        <f>'AMB-FTE'!D36</f>
        <v>ED RN Supervisor</v>
      </c>
      <c r="D65" s="1639">
        <f>'AMB-FTE'!M36</f>
        <v>0</v>
      </c>
      <c r="F65" t="s">
        <v>970</v>
      </c>
      <c r="G65" s="1640" t="s">
        <v>509</v>
      </c>
      <c r="H65" s="1641" t="e">
        <f>INDEX('Pay Scales'!$M$6:$N$11,MATCH(G65,'Pay Scales'!$M$6:$M$11,0),2)*(1+('Pay Scales'!$V$6*('Pay Scales'!$U$4=4)))*(1+('Pay Scales'!$D$2))</f>
        <v>#N/A</v>
      </c>
      <c r="I65" s="1641" t="e">
        <f t="shared" si="2"/>
        <v>#N/A</v>
      </c>
      <c r="J65" s="1642"/>
      <c r="K65" t="s">
        <v>601</v>
      </c>
    </row>
    <row r="66" spans="1:11">
      <c r="A66" s="952">
        <v>202</v>
      </c>
      <c r="B66" s="1632"/>
      <c r="C66" s="1633" t="str">
        <f>'AMB-FTE'!D37</f>
        <v>ED RN</v>
      </c>
      <c r="D66" s="1639">
        <f>'AMB-FTE'!M37</f>
        <v>0</v>
      </c>
      <c r="F66" t="s">
        <v>970</v>
      </c>
      <c r="G66" s="1640" t="s">
        <v>509</v>
      </c>
      <c r="H66" s="1641" t="e">
        <f>INDEX('Pay Scales'!$M$6:$N$11,MATCH(G66,'Pay Scales'!$M$6:$M$11,0),2)*(1+('Pay Scales'!$V$6*('Pay Scales'!$U$4=4)))*(1+('Pay Scales'!$D$2))</f>
        <v>#N/A</v>
      </c>
      <c r="I66" s="1641" t="e">
        <f t="shared" si="2"/>
        <v>#N/A</v>
      </c>
      <c r="J66" s="1642"/>
      <c r="K66" t="s">
        <v>601</v>
      </c>
    </row>
    <row r="67" spans="1:11">
      <c r="A67" s="952">
        <v>33</v>
      </c>
      <c r="B67" s="1632"/>
      <c r="C67" s="1633" t="str">
        <f>'AMB-FTE'!D38</f>
        <v>ED Medical Clerks</v>
      </c>
      <c r="D67" s="1639">
        <f>'AMB-FTE'!M38</f>
        <v>0</v>
      </c>
      <c r="F67" t="s">
        <v>970</v>
      </c>
      <c r="G67" s="1640" t="s">
        <v>509</v>
      </c>
      <c r="H67" s="1641" t="e">
        <f>INDEX('Pay Scales'!$M$6:$N$11,MATCH(G67,'Pay Scales'!$M$6:$M$11,0),2)*(1+('Pay Scales'!$V$6*('Pay Scales'!$U$4=4)))*(1+('Pay Scales'!$D$2))</f>
        <v>#N/A</v>
      </c>
      <c r="I67" s="1641" t="e">
        <f t="shared" si="2"/>
        <v>#N/A</v>
      </c>
      <c r="J67" s="1642"/>
      <c r="K67" t="s">
        <v>601</v>
      </c>
    </row>
    <row r="68" spans="1:11">
      <c r="A68" s="952">
        <v>203</v>
      </c>
      <c r="B68" s="1632"/>
      <c r="C68" s="1633" t="str">
        <f>'AMB-FTE'!D39</f>
        <v>ED Medical Assistant</v>
      </c>
      <c r="D68" s="1639">
        <f>'AMB-FTE'!M39</f>
        <v>0</v>
      </c>
      <c r="F68" t="s">
        <v>970</v>
      </c>
      <c r="G68" s="1640" t="s">
        <v>509</v>
      </c>
      <c r="H68" s="1641" t="e">
        <f>INDEX('Pay Scales'!$M$6:$N$11,MATCH(G68,'Pay Scales'!$M$6:$M$11,0),2)*(1+('Pay Scales'!$V$6*('Pay Scales'!$U$4=4)))*(1+('Pay Scales'!$D$2))</f>
        <v>#N/A</v>
      </c>
      <c r="I68" s="1641" t="e">
        <f t="shared" si="2"/>
        <v>#N/A</v>
      </c>
      <c r="J68" s="1642"/>
      <c r="K68" t="s">
        <v>601</v>
      </c>
    </row>
    <row r="69" spans="1:11">
      <c r="A69" s="952">
        <v>205</v>
      </c>
      <c r="B69" s="1632"/>
      <c r="C69" s="1633" t="str">
        <f>'AMB-FTE'!D40</f>
        <v>Primary Care Provider</v>
      </c>
      <c r="D69" s="1639">
        <f>'AMB-FTE'!M40</f>
        <v>0</v>
      </c>
      <c r="F69" t="s">
        <v>970</v>
      </c>
      <c r="G69" s="1640" t="s">
        <v>512</v>
      </c>
      <c r="H69" s="1641" t="e">
        <f>INDEX('Pay Scales'!$G$6:$K$8,MATCH(G69,'Pay Scales'!$G$6:$G$8,0),'Pay Scales'!$U$4+1)*(1+('Pay Scales'!$V$6*('Pay Scales'!$U$4=4)))*(1+('Pay Scales'!$D$2))</f>
        <v>#N/A</v>
      </c>
      <c r="I69" s="1641" t="e">
        <f t="shared" si="2"/>
        <v>#N/A</v>
      </c>
      <c r="J69" s="1642"/>
      <c r="K69" t="s">
        <v>601</v>
      </c>
    </row>
    <row r="70" spans="1:11" ht="16.5" thickBot="1">
      <c r="A70" s="952">
        <v>204</v>
      </c>
      <c r="B70" s="1632"/>
      <c r="C70" s="1633" t="str">
        <f>'AMB-FTE'!D41</f>
        <v>ED Nurse Trauma Coordinator</v>
      </c>
      <c r="D70" s="1675">
        <f>'AMB-FTE'!M41</f>
        <v>0</v>
      </c>
      <c r="F70" t="s">
        <v>970</v>
      </c>
      <c r="G70" s="1640" t="s">
        <v>507</v>
      </c>
      <c r="H70" s="1641" t="e">
        <f>INDEX('Pay Scales'!$C$6:$D$30,MATCH(G70,'Pay Scales'!$C$6:$C$30,0),2)*(1+('Pay Scales'!$V$6*('Pay Scales'!$U$4=4)))*(1+('Pay Scales'!$D$2))</f>
        <v>#N/A</v>
      </c>
      <c r="I70" s="1645" t="e">
        <f t="shared" si="2"/>
        <v>#N/A</v>
      </c>
      <c r="J70" s="1646"/>
      <c r="K70" t="s">
        <v>601</v>
      </c>
    </row>
    <row r="71" spans="1:11" ht="17.25" thickTop="1" thickBot="1">
      <c r="B71" s="1676"/>
      <c r="C71" s="1647" t="s">
        <v>88</v>
      </c>
      <c r="D71" s="1677">
        <f>SUM(D64:D70)</f>
        <v>0</v>
      </c>
      <c r="E71" s="1649"/>
      <c r="F71" s="1649"/>
      <c r="G71" s="1678"/>
      <c r="H71" s="1679"/>
      <c r="I71" s="1679"/>
      <c r="J71" s="1680" t="e">
        <f>SUM(I64:I70)</f>
        <v>#N/A</v>
      </c>
      <c r="K71"/>
    </row>
    <row r="72" spans="1:11" ht="16.5" thickTop="1">
      <c r="B72" s="1663" t="s">
        <v>971</v>
      </c>
      <c r="C72" s="1664"/>
      <c r="D72" s="1655"/>
      <c r="E72" s="1656"/>
      <c r="F72" s="1656"/>
      <c r="G72" s="1657"/>
      <c r="H72" s="1656"/>
      <c r="I72" s="1656"/>
      <c r="J72" s="1658"/>
      <c r="K72"/>
    </row>
    <row r="73" spans="1:11">
      <c r="A73" s="1681">
        <v>35</v>
      </c>
      <c r="B73" s="1632"/>
      <c r="C73" s="1633" t="str">
        <f>'AMB-FTE'!D12</f>
        <v>Primary Care Provider</v>
      </c>
      <c r="D73" s="1639">
        <f>'AMB-FTE'!M12</f>
        <v>0</v>
      </c>
      <c r="F73" t="s">
        <v>972</v>
      </c>
      <c r="G73" s="1640" t="s">
        <v>511</v>
      </c>
      <c r="H73" s="1641" t="e">
        <f>INDEX('Pay Scales'!$G$6:$K$8,MATCH(G73,'Pay Scales'!$G$6:$G$8,0),'Pay Scales'!$U$4+1)*(1+('Pay Scales'!$V$6*('Pay Scales'!$U$4=4)))*(1+('Pay Scales'!$D$2))</f>
        <v>#N/A</v>
      </c>
      <c r="I73" s="1641" t="e">
        <f>H73*D73</f>
        <v>#N/A</v>
      </c>
      <c r="J73" s="1642"/>
      <c r="K73" t="s">
        <v>601</v>
      </c>
    </row>
    <row r="74" spans="1:11">
      <c r="A74" s="1681">
        <v>37</v>
      </c>
      <c r="B74" s="1632"/>
      <c r="C74" s="1633" t="str">
        <f>'AMB-FTE'!D13</f>
        <v>Primary Care Provider (CHA/P)</v>
      </c>
      <c r="D74" s="1639">
        <f>'AMB-FTE'!M13</f>
        <v>0</v>
      </c>
      <c r="F74" t="s">
        <v>972</v>
      </c>
      <c r="G74" s="1640" t="s">
        <v>511</v>
      </c>
      <c r="H74" s="1641" t="e">
        <f>INDEX('Pay Scales'!$G$6:$K$8,MATCH(G74,'Pay Scales'!$G$6:$G$8,0),'Pay Scales'!$U$4+1)*(1+('Pay Scales'!$V$6*('Pay Scales'!$U$4=4)))*(1+('Pay Scales'!$D$2))</f>
        <v>#N/A</v>
      </c>
      <c r="I74" s="1641" t="e">
        <f>H74*D74</f>
        <v>#N/A</v>
      </c>
      <c r="J74" s="1642"/>
      <c r="K74" t="s">
        <v>601</v>
      </c>
    </row>
    <row r="75" spans="1:11">
      <c r="A75" s="1681">
        <v>38</v>
      </c>
      <c r="B75" s="1632"/>
      <c r="C75" s="1633" t="str">
        <f>'AMB-FTE'!D14</f>
        <v>EMS Medical Director</v>
      </c>
      <c r="D75" s="1639">
        <f>'AMB-FTE'!M14</f>
        <v>0</v>
      </c>
      <c r="F75" t="s">
        <v>972</v>
      </c>
      <c r="G75" s="1640" t="s">
        <v>513</v>
      </c>
      <c r="H75" s="1641" t="e">
        <f>INDEX('Pay Scales'!$G$6:$K$8,MATCH(G75,'Pay Scales'!$G$6:$G$8,0),'Pay Scales'!$U$4+1)*(1+('Pay Scales'!$V$6*('Pay Scales'!$U$4=4)))*(1+('Pay Scales'!$D$2))</f>
        <v>#N/A</v>
      </c>
      <c r="I75" s="1641" t="e">
        <f>H75*D75</f>
        <v>#N/A</v>
      </c>
      <c r="J75" s="1642"/>
      <c r="K75" t="s">
        <v>601</v>
      </c>
    </row>
    <row r="76" spans="1:11" ht="16.5" thickBot="1">
      <c r="A76" s="1681">
        <v>39</v>
      </c>
      <c r="B76" s="1632"/>
      <c r="C76" s="1633" t="str">
        <f>'AMB-FTE'!D15</f>
        <v>Clerical Support</v>
      </c>
      <c r="D76" s="1639">
        <f>'AMB-FTE'!M15</f>
        <v>0</v>
      </c>
      <c r="F76" t="s">
        <v>972</v>
      </c>
      <c r="G76" s="1683" t="s">
        <v>517</v>
      </c>
      <c r="H76" s="1659" t="e">
        <f>INDEX('Pay Scales'!$C$6:$D$30,MATCH(G76,'Pay Scales'!$C$6:$C$30,0),2)*(1+('Pay Scales'!$V$6*('Pay Scales'!$U$4=4)))*(1+('Pay Scales'!$D$2))</f>
        <v>#N/A</v>
      </c>
      <c r="I76" s="1659" t="e">
        <f>H76*D76</f>
        <v>#N/A</v>
      </c>
      <c r="J76" s="1684"/>
      <c r="K76" t="s">
        <v>601</v>
      </c>
    </row>
    <row r="77" spans="1:11" ht="17.25" thickTop="1" thickBot="1">
      <c r="B77" s="1632"/>
      <c r="C77" s="1647" t="s">
        <v>88</v>
      </c>
      <c r="D77" s="1648">
        <f>SUM(D73:D76)</f>
        <v>0</v>
      </c>
      <c r="E77" s="1649"/>
      <c r="F77" s="1649"/>
      <c r="G77" s="1685"/>
      <c r="H77" s="1686"/>
      <c r="I77" s="1686"/>
      <c r="J77" s="1687" t="e">
        <f>SUM(I73:I76)</f>
        <v>#N/A</v>
      </c>
      <c r="K77"/>
    </row>
    <row r="78" spans="1:11" ht="16.5" thickTop="1">
      <c r="B78" s="1653" t="s">
        <v>581</v>
      </c>
      <c r="C78" s="1674"/>
      <c r="D78" s="1655"/>
      <c r="E78" s="1656"/>
      <c r="F78" s="1656"/>
      <c r="G78" s="1657"/>
      <c r="H78" s="1656"/>
      <c r="I78" s="1656"/>
      <c r="J78" s="1658"/>
      <c r="K78"/>
    </row>
    <row r="79" spans="1:11">
      <c r="A79" s="952">
        <v>181</v>
      </c>
      <c r="B79" s="1653"/>
      <c r="C79" s="1633" t="str">
        <f>'AMB-FTE'!D18</f>
        <v>Registered Dietician</v>
      </c>
      <c r="D79" s="1682">
        <f>'AMB-FTE'!M18</f>
        <v>0</v>
      </c>
      <c r="G79" s="1640" t="s">
        <v>509</v>
      </c>
      <c r="H79" s="1641" t="e">
        <f>INDEX('Pay Scales'!$C$6:$D$30,MATCH(G79,'Pay Scales'!$C$6:$C$30,0),2)*(1+('Pay Scales'!$V$6*('Pay Scales'!$U$4=4)))*(1+('Pay Scales'!$D$2))</f>
        <v>#N/A</v>
      </c>
      <c r="I79" s="1641" t="e">
        <f>H79*D79</f>
        <v>#N/A</v>
      </c>
      <c r="J79" s="1642"/>
      <c r="K79" t="s">
        <v>601</v>
      </c>
    </row>
    <row r="80" spans="1:11" ht="16.5" thickBot="1">
      <c r="A80" s="952">
        <v>200</v>
      </c>
      <c r="B80" s="1653"/>
      <c r="C80" s="1633" t="str">
        <f>'AMB-FTE'!D19</f>
        <v>Ambulatory Nutrition Support Staff</v>
      </c>
      <c r="D80" s="1675">
        <f>'AMB-FTE'!M19</f>
        <v>0</v>
      </c>
      <c r="G80" s="1644" t="s">
        <v>517</v>
      </c>
      <c r="H80" s="1645" t="e">
        <f>INDEX('Pay Scales'!$C$6:$D$30,MATCH(G80,'Pay Scales'!$C$6:$C$30,0),2)*(1+('Pay Scales'!$V$6*('Pay Scales'!$U$4=4)))*(1+('Pay Scales'!$D$2))</f>
        <v>#N/A</v>
      </c>
      <c r="I80" s="1645" t="e">
        <f>H80*D80</f>
        <v>#N/A</v>
      </c>
      <c r="J80" s="1684"/>
      <c r="K80" t="s">
        <v>601</v>
      </c>
    </row>
    <row r="81" spans="1:11" ht="17.25" thickTop="1" thickBot="1">
      <c r="B81" s="1653"/>
      <c r="C81" s="1647" t="s">
        <v>88</v>
      </c>
      <c r="D81" s="1677">
        <f>SUM(D79:D80)</f>
        <v>0</v>
      </c>
      <c r="E81" s="1649"/>
      <c r="F81" s="1649"/>
      <c r="G81" s="1685"/>
      <c r="H81" s="1686"/>
      <c r="I81" s="1686"/>
      <c r="J81" s="1687" t="e">
        <f>SUM(I79:I80)</f>
        <v>#N/A</v>
      </c>
      <c r="K81"/>
    </row>
    <row r="82" spans="1:11" ht="16.5" thickTop="1">
      <c r="B82" s="1653" t="s">
        <v>257</v>
      </c>
      <c r="C82" s="1674"/>
      <c r="D82" s="1655"/>
      <c r="E82" s="1656"/>
      <c r="F82" s="1656"/>
      <c r="G82" s="1657"/>
      <c r="H82" s="1656"/>
      <c r="I82" s="1656"/>
      <c r="J82" s="1658"/>
      <c r="K82"/>
    </row>
    <row r="83" spans="1:11" ht="16.5" thickBot="1">
      <c r="A83" s="952">
        <v>400</v>
      </c>
      <c r="B83" s="1653"/>
      <c r="C83" s="1633" t="str">
        <f>'AMB-FTE'!D22</f>
        <v>General Surgeon</v>
      </c>
      <c r="D83" s="1675">
        <f>'AMB-FTE'!M22</f>
        <v>0</v>
      </c>
      <c r="F83" t="s">
        <v>973</v>
      </c>
      <c r="G83" s="1644" t="s">
        <v>513</v>
      </c>
      <c r="H83" s="1645" t="e">
        <f>INDEX('Pay Scales'!$G$5:$K$8,MATCH(G83,'Pay Scales'!$G$5:$G$8,0),'Pay Scales'!$U$4+1)*(1+('Pay Scales'!$V$6*('Pay Scales'!$U$4=4)))*(1+('Pay Scales'!$D$2))</f>
        <v>#N/A</v>
      </c>
      <c r="I83" s="1645" t="e">
        <f>H83*D83</f>
        <v>#N/A</v>
      </c>
      <c r="J83" s="1646"/>
      <c r="K83" t="s">
        <v>601</v>
      </c>
    </row>
    <row r="84" spans="1:11" ht="17.25" thickTop="1" thickBot="1">
      <c r="B84" s="1653"/>
      <c r="C84" s="1647" t="s">
        <v>88</v>
      </c>
      <c r="D84" s="1677">
        <f>SUM(D83)</f>
        <v>0</v>
      </c>
      <c r="E84" s="1649"/>
      <c r="F84" s="1649"/>
      <c r="G84" s="1650"/>
      <c r="H84" s="1651"/>
      <c r="I84" s="1651"/>
      <c r="J84" s="1652" t="e">
        <f>SUM(I83)</f>
        <v>#N/A</v>
      </c>
      <c r="K84"/>
    </row>
    <row r="85" spans="1:11" ht="16.5" thickTop="1">
      <c r="B85" s="1653" t="s">
        <v>259</v>
      </c>
      <c r="C85" s="1674"/>
      <c r="D85" s="1655"/>
      <c r="E85" s="1656"/>
      <c r="F85" s="1656"/>
      <c r="G85" s="1657"/>
      <c r="H85" s="1656"/>
      <c r="I85" s="1656"/>
      <c r="J85" s="1658"/>
      <c r="K85"/>
    </row>
    <row r="86" spans="1:11">
      <c r="A86" s="952">
        <v>40</v>
      </c>
      <c r="B86" s="1653"/>
      <c r="C86" s="1661" t="str">
        <f>'AMB-FTE'!D25</f>
        <v>Nurse Supervisor. (in Hosp. OPD)</v>
      </c>
      <c r="D86" s="1639">
        <f>'AMB-FTE'!M25</f>
        <v>0</v>
      </c>
      <c r="F86" t="s">
        <v>972</v>
      </c>
      <c r="G86" s="1640" t="s">
        <v>510</v>
      </c>
      <c r="H86" s="1641" t="e">
        <f>INDEX('Pay Scales'!$M$6:$N$11,MATCH(G86,'Pay Scales'!$M$6:$M$11,0),2)*(1+('Pay Scales'!$V$6*('Pay Scales'!$U$4=4)))*(1+('Pay Scales'!$D$2))</f>
        <v>#N/A</v>
      </c>
      <c r="I86" s="1641" t="e">
        <f t="shared" ref="I86:I93" si="3">H86*D86</f>
        <v>#N/A</v>
      </c>
      <c r="J86" s="1642"/>
      <c r="K86" t="s">
        <v>601</v>
      </c>
    </row>
    <row r="87" spans="1:11">
      <c r="A87" s="952">
        <v>41</v>
      </c>
      <c r="B87" s="1653"/>
      <c r="C87" s="1661" t="str">
        <f>'AMB-FTE'!D26</f>
        <v>Medical Clerk, Exec. Support, Hosp OPD</v>
      </c>
      <c r="D87" s="1639">
        <f>'AMB-FTE'!M26</f>
        <v>0</v>
      </c>
      <c r="F87" t="s">
        <v>972</v>
      </c>
      <c r="G87" s="1640" t="s">
        <v>518</v>
      </c>
      <c r="H87" s="1641" t="e">
        <f>INDEX('Pay Scales'!$C$6:$D$30,MATCH(G87,'Pay Scales'!$C$6:$C$30,0),2)*(1+('Pay Scales'!$V$6*('Pay Scales'!$U$4=4)))*(1+('Pay Scales'!$D$2))</f>
        <v>#N/A</v>
      </c>
      <c r="I87" s="1641" t="e">
        <f t="shared" si="3"/>
        <v>#N/A</v>
      </c>
      <c r="J87" s="1642"/>
      <c r="K87" t="s">
        <v>601</v>
      </c>
    </row>
    <row r="88" spans="1:11">
      <c r="A88" s="952">
        <v>42</v>
      </c>
      <c r="B88" s="1653"/>
      <c r="C88" s="1633" t="str">
        <f>'AMB-FTE'!D27</f>
        <v>Nurse Manager</v>
      </c>
      <c r="D88" s="1639">
        <f>'AMB-FTE'!M27</f>
        <v>0</v>
      </c>
      <c r="F88" t="s">
        <v>972</v>
      </c>
      <c r="G88" s="1640" t="s">
        <v>509</v>
      </c>
      <c r="H88" s="1641" t="e">
        <f>INDEX('Pay Scales'!$M$6:$N$11,MATCH(G88,'Pay Scales'!$M$6:$M$11,0),2)*(1+('Pay Scales'!$V$6*('Pay Scales'!$U$4=4)))*(1+('Pay Scales'!$D$2))</f>
        <v>#N/A</v>
      </c>
      <c r="I88" s="1641" t="e">
        <f t="shared" si="3"/>
        <v>#N/A</v>
      </c>
      <c r="J88" s="1642"/>
      <c r="K88" t="s">
        <v>601</v>
      </c>
    </row>
    <row r="89" spans="1:11">
      <c r="A89" s="952">
        <v>43</v>
      </c>
      <c r="B89" s="1653"/>
      <c r="C89" s="1633" t="str">
        <f>'AMB-FTE'!D28</f>
        <v>Registered Nurse, Core Activities</v>
      </c>
      <c r="D89" s="1639">
        <f>'AMB-FTE'!M28</f>
        <v>0</v>
      </c>
      <c r="F89" t="s">
        <v>972</v>
      </c>
      <c r="G89" s="1640" t="s">
        <v>507</v>
      </c>
      <c r="H89" s="1641" t="e">
        <f>INDEX('Pay Scales'!$M$6:$N$11,MATCH(G89,'Pay Scales'!$M$6:$M$11,0),2)*(1+('Pay Scales'!$V$6*('Pay Scales'!$U$4=4)))*(1+('Pay Scales'!$D$2))</f>
        <v>#N/A</v>
      </c>
      <c r="I89" s="1641" t="e">
        <f t="shared" si="3"/>
        <v>#N/A</v>
      </c>
      <c r="J89" s="1642"/>
      <c r="K89" t="s">
        <v>601</v>
      </c>
    </row>
    <row r="90" spans="1:11">
      <c r="A90" s="952">
        <v>44</v>
      </c>
      <c r="B90" s="1653"/>
      <c r="C90" s="1633" t="str">
        <f>'AMB-FTE'!D29</f>
        <v>LPN</v>
      </c>
      <c r="D90" s="1639">
        <f>'AMB-FTE'!M29</f>
        <v>0</v>
      </c>
      <c r="F90" t="s">
        <v>972</v>
      </c>
      <c r="G90" s="1640" t="s">
        <v>519</v>
      </c>
      <c r="H90" s="1641" t="e">
        <f>INDEX('Pay Scales'!$C$6:$D$30,MATCH(G90,'Pay Scales'!$C$6:$C$30,0),2)*(1+('Pay Scales'!$V$6*('Pay Scales'!$U$4=4)))*(1+('Pay Scales'!$D$2))</f>
        <v>#N/A</v>
      </c>
      <c r="I90" s="1641" t="e">
        <f t="shared" si="3"/>
        <v>#N/A</v>
      </c>
      <c r="J90" s="1642"/>
      <c r="K90" t="s">
        <v>601</v>
      </c>
    </row>
    <row r="91" spans="1:11">
      <c r="A91" s="952">
        <v>401</v>
      </c>
      <c r="B91" s="1653"/>
      <c r="C91" s="1633" t="str">
        <f>'AMB-FTE'!D30</f>
        <v>Clerical Support</v>
      </c>
      <c r="D91" s="1639">
        <f>'AMB-FTE'!M30</f>
        <v>0</v>
      </c>
      <c r="F91" t="s">
        <v>972</v>
      </c>
      <c r="G91" s="1640" t="s">
        <v>517</v>
      </c>
      <c r="H91" s="1641" t="e">
        <f>INDEX('Pay Scales'!$C$6:$D$30,MATCH(G91,'Pay Scales'!$C$6:$C$30,0),2)*(1+('Pay Scales'!$V$6*('Pay Scales'!$U$4=4)))*(1+('Pay Scales'!$D$2))</f>
        <v>#N/A</v>
      </c>
      <c r="I91" s="1641" t="e">
        <f t="shared" si="3"/>
        <v>#N/A</v>
      </c>
      <c r="J91" s="1642"/>
      <c r="K91" t="s">
        <v>601</v>
      </c>
    </row>
    <row r="92" spans="1:11">
      <c r="A92" s="952">
        <v>45</v>
      </c>
      <c r="B92" s="1653"/>
      <c r="C92" s="1661" t="str">
        <f>'AMB-FTE'!D31</f>
        <v>RNs, Patient Escort</v>
      </c>
      <c r="D92" s="1639">
        <f>'AMB-FTE'!M31</f>
        <v>0</v>
      </c>
      <c r="F92" t="s">
        <v>972</v>
      </c>
      <c r="G92" s="1640" t="s">
        <v>507</v>
      </c>
      <c r="H92" s="1641" t="e">
        <f>INDEX('Pay Scales'!$M$6:$N$11,MATCH(G92,'Pay Scales'!$M$6:$M$11,0),2)*(1+('Pay Scales'!$V$6*('Pay Scales'!$U$4=4)))*(1+('Pay Scales'!$D$2))</f>
        <v>#N/A</v>
      </c>
      <c r="I92" s="1641" t="e">
        <f t="shared" si="3"/>
        <v>#N/A</v>
      </c>
      <c r="J92" s="1642"/>
      <c r="K92" t="s">
        <v>601</v>
      </c>
    </row>
    <row r="93" spans="1:11" ht="16.5" thickBot="1">
      <c r="A93" s="952">
        <v>46</v>
      </c>
      <c r="B93" s="1653"/>
      <c r="C93" s="1661" t="str">
        <f>'AMB-FTE'!D32</f>
        <v>RNs, Ambulatory Clinic Observation Beds</v>
      </c>
      <c r="D93" s="1675">
        <f>'AMB-FTE'!M32</f>
        <v>0</v>
      </c>
      <c r="F93" t="s">
        <v>972</v>
      </c>
      <c r="G93" s="1640" t="s">
        <v>507</v>
      </c>
      <c r="H93" s="1641" t="e">
        <f>INDEX('Pay Scales'!$M$6:$N$11,MATCH(G93,'Pay Scales'!$M$6:$M$11,0),2)*(1+('Pay Scales'!$V$6*('Pay Scales'!$U$4=4)))*(1+('Pay Scales'!$D$2))</f>
        <v>#N/A</v>
      </c>
      <c r="I93" s="1645" t="e">
        <f t="shared" si="3"/>
        <v>#N/A</v>
      </c>
      <c r="J93" s="1646"/>
      <c r="K93" t="s">
        <v>601</v>
      </c>
    </row>
    <row r="94" spans="1:11" ht="17.25" thickTop="1" thickBot="1">
      <c r="B94" s="1688"/>
      <c r="C94" s="1647" t="s">
        <v>88</v>
      </c>
      <c r="D94" s="1677">
        <f>SUM(D86:D93)</f>
        <v>0</v>
      </c>
      <c r="E94" s="1649"/>
      <c r="F94" s="1649"/>
      <c r="G94" s="1678"/>
      <c r="H94" s="1679"/>
      <c r="I94" s="1679"/>
      <c r="J94" s="1680" t="e">
        <f>SUM(I86:I93)</f>
        <v>#N/A</v>
      </c>
      <c r="K94"/>
    </row>
    <row r="95" spans="1:11" ht="16.5" thickTop="1">
      <c r="B95" s="1689" t="s">
        <v>271</v>
      </c>
      <c r="C95" s="1690"/>
      <c r="D95" s="1655"/>
      <c r="E95" s="1656"/>
      <c r="F95" s="1656"/>
      <c r="G95" s="1657"/>
      <c r="H95" s="1656"/>
      <c r="I95" s="1656"/>
      <c r="J95" s="1658"/>
      <c r="K95"/>
    </row>
    <row r="96" spans="1:11">
      <c r="A96" s="952">
        <v>47</v>
      </c>
      <c r="B96" s="1653"/>
      <c r="C96" s="1633" t="str">
        <f>'AMB-FTE'!D45</f>
        <v>Optometrist</v>
      </c>
      <c r="D96" s="1639">
        <f>'AMB-FTE'!M45</f>
        <v>0</v>
      </c>
      <c r="F96" t="s">
        <v>974</v>
      </c>
      <c r="G96" s="1640" t="s">
        <v>510</v>
      </c>
      <c r="H96" s="1641" t="e">
        <f>INDEX('Pay Scales'!$C$6:$D$30,MATCH(G96,'Pay Scales'!$C$6:$C$30,0),2)*(1+('Pay Scales'!$V$6*('Pay Scales'!$U$4=4)))*(1+('Pay Scales'!$D$2))</f>
        <v>#N/A</v>
      </c>
      <c r="I96" s="1641" t="e">
        <f>H96*D96</f>
        <v>#N/A</v>
      </c>
      <c r="J96" s="1642"/>
      <c r="K96" t="s">
        <v>601</v>
      </c>
    </row>
    <row r="97" spans="1:11">
      <c r="A97" s="952">
        <v>48</v>
      </c>
      <c r="B97" s="1653"/>
      <c r="C97" s="1633" t="str">
        <f>'AMB-FTE'!D46</f>
        <v>Optometric Assistant</v>
      </c>
      <c r="D97" s="1639">
        <f>'AMB-FTE'!M46</f>
        <v>0</v>
      </c>
      <c r="F97" t="s">
        <v>974</v>
      </c>
      <c r="G97" s="1640" t="s">
        <v>518</v>
      </c>
      <c r="H97" s="1641" t="e">
        <f>INDEX('Pay Scales'!$C$6:$D$30,MATCH(G97,'Pay Scales'!$C$6:$C$30,0),2)*(1+('Pay Scales'!$V$6*('Pay Scales'!$U$4=4)))*(1+('Pay Scales'!$D$2))</f>
        <v>#N/A</v>
      </c>
      <c r="I97" s="1641" t="e">
        <f>H97*D97</f>
        <v>#N/A</v>
      </c>
      <c r="J97" s="1642"/>
      <c r="K97" t="s">
        <v>601</v>
      </c>
    </row>
    <row r="98" spans="1:11">
      <c r="A98" s="952">
        <v>49</v>
      </c>
      <c r="B98" s="1653"/>
      <c r="C98" s="1633" t="str">
        <f>'AMB-FTE'!D47</f>
        <v>Optometric Technician</v>
      </c>
      <c r="D98" s="1639">
        <f>'AMB-FTE'!M47</f>
        <v>0</v>
      </c>
      <c r="F98" t="s">
        <v>974</v>
      </c>
      <c r="G98" s="1640" t="s">
        <v>519</v>
      </c>
      <c r="H98" s="1641" t="e">
        <f>INDEX('Pay Scales'!$C$6:$D$30,MATCH(G98,'Pay Scales'!$C$6:$C$30,0),2)*(1+('Pay Scales'!$V$6*('Pay Scales'!$U$4=4)))*(1+('Pay Scales'!$D$2))</f>
        <v>#N/A</v>
      </c>
      <c r="I98" s="1641" t="e">
        <f>H98*D98</f>
        <v>#N/A</v>
      </c>
      <c r="J98" s="1642"/>
      <c r="K98" t="s">
        <v>601</v>
      </c>
    </row>
    <row r="99" spans="1:11">
      <c r="A99" s="952">
        <v>50</v>
      </c>
      <c r="B99" s="1653"/>
      <c r="C99" s="1633" t="str">
        <f>'AMB-FTE'!D48</f>
        <v>Ophthalmologist</v>
      </c>
      <c r="D99" s="1639">
        <f>'AMB-FTE'!M48</f>
        <v>0</v>
      </c>
      <c r="F99" t="s">
        <v>974</v>
      </c>
      <c r="G99" s="1640" t="s">
        <v>512</v>
      </c>
      <c r="H99" s="1641" t="e">
        <f>INDEX('Pay Scales'!$G$6:$K$8,MATCH(G99,'Pay Scales'!$G$6:$G$8,0),'Pay Scales'!$U$4+1)*(1+('Pay Scales'!$V$6*('Pay Scales'!$U$4=4)))*(1+('Pay Scales'!$D$2))</f>
        <v>#N/A</v>
      </c>
      <c r="I99" s="1641" t="e">
        <f>H99*D99</f>
        <v>#N/A</v>
      </c>
      <c r="J99" s="1642"/>
      <c r="K99" t="s">
        <v>601</v>
      </c>
    </row>
    <row r="100" spans="1:11" ht="16.5" thickBot="1">
      <c r="A100" s="952">
        <v>51</v>
      </c>
      <c r="B100" s="1653"/>
      <c r="C100" s="1633" t="str">
        <f>'AMB-FTE'!D49</f>
        <v>Ophthalmologist Assistant</v>
      </c>
      <c r="D100" s="1675">
        <f>'AMB-FTE'!M49</f>
        <v>0</v>
      </c>
      <c r="F100" t="s">
        <v>974</v>
      </c>
      <c r="G100" s="1644" t="s">
        <v>519</v>
      </c>
      <c r="H100" s="1645" t="e">
        <f>INDEX('Pay Scales'!$C$6:$D$30,MATCH(G100,'Pay Scales'!$C$6:$C$30,0),2)*(1+('Pay Scales'!$V$6*('Pay Scales'!$U$4=4)))*(1+('Pay Scales'!$D$2))</f>
        <v>#N/A</v>
      </c>
      <c r="I100" s="1645" t="e">
        <f>H100*D100</f>
        <v>#N/A</v>
      </c>
      <c r="J100" s="1646"/>
      <c r="K100" t="s">
        <v>601</v>
      </c>
    </row>
    <row r="101" spans="1:11" ht="17.25" thickTop="1" thickBot="1">
      <c r="B101" s="1653"/>
      <c r="C101" s="1647" t="s">
        <v>88</v>
      </c>
      <c r="D101" s="1677">
        <f>SUM(D96:D100)</f>
        <v>0</v>
      </c>
      <c r="E101" s="1649"/>
      <c r="F101" s="1649"/>
      <c r="G101" s="1650"/>
      <c r="H101" s="1651"/>
      <c r="I101" s="1651"/>
      <c r="J101" s="1652" t="e">
        <f>SUM(I96:I100)</f>
        <v>#N/A</v>
      </c>
      <c r="K101"/>
    </row>
    <row r="102" spans="1:11" ht="16.5" thickTop="1">
      <c r="B102" s="1653" t="s">
        <v>278</v>
      </c>
      <c r="C102" s="1674"/>
      <c r="D102" s="1655"/>
      <c r="E102" s="1656"/>
      <c r="F102" s="1656"/>
      <c r="G102" s="1657"/>
      <c r="H102" s="1656"/>
      <c r="I102" s="1656"/>
      <c r="J102" s="1658"/>
      <c r="K102"/>
    </row>
    <row r="103" spans="1:11">
      <c r="A103" s="952">
        <v>52</v>
      </c>
      <c r="B103" s="1632"/>
      <c r="C103" s="1633" t="str">
        <f>'AMB-FTE'!D52</f>
        <v>Audiologist</v>
      </c>
      <c r="D103" s="1639">
        <f>'AMB-FTE'!M52</f>
        <v>0</v>
      </c>
      <c r="F103" t="s">
        <v>975</v>
      </c>
      <c r="G103" s="1640" t="s">
        <v>511</v>
      </c>
      <c r="H103" s="1641" t="e">
        <f>INDEX('Pay Scales'!$G$6:$K$8,MATCH(G103,'Pay Scales'!$G$6:$G$8,0),'Pay Scales'!$U$4+1)*(1+('Pay Scales'!$V$6*('Pay Scales'!$U$4=4)))*(1+('Pay Scales'!$D$2))</f>
        <v>#N/A</v>
      </c>
      <c r="I103" s="1641" t="e">
        <f>H103*D103</f>
        <v>#N/A</v>
      </c>
      <c r="J103" s="1642"/>
      <c r="K103" t="s">
        <v>601</v>
      </c>
    </row>
    <row r="104" spans="1:11" ht="16.5" thickBot="1">
      <c r="A104" s="952">
        <v>53</v>
      </c>
      <c r="B104" s="1632"/>
      <c r="C104" s="1633" t="str">
        <f>'AMB-FTE'!D53</f>
        <v>Audiometric Technician</v>
      </c>
      <c r="D104" s="1675">
        <f>'AMB-FTE'!M53</f>
        <v>0</v>
      </c>
      <c r="F104" t="s">
        <v>975</v>
      </c>
      <c r="G104" s="1644" t="s">
        <v>518</v>
      </c>
      <c r="H104" s="1645" t="e">
        <f>INDEX('Pay Scales'!$C$6:$D$30,MATCH(G104,'Pay Scales'!$C$6:$C$30,0),2)*(1+('Pay Scales'!$V$6*('Pay Scales'!$U$4=4)))*(1+('Pay Scales'!$D$2))</f>
        <v>#N/A</v>
      </c>
      <c r="I104" s="1645" t="e">
        <f>H104*D104</f>
        <v>#N/A</v>
      </c>
      <c r="J104" s="1646"/>
      <c r="K104" t="s">
        <v>601</v>
      </c>
    </row>
    <row r="105" spans="1:11" ht="17.25" thickTop="1" thickBot="1">
      <c r="B105" s="1632"/>
      <c r="C105" s="1647" t="s">
        <v>88</v>
      </c>
      <c r="D105" s="1691">
        <f>SUM(D103:D104)</f>
        <v>0</v>
      </c>
      <c r="E105" s="1649"/>
      <c r="F105" s="1649"/>
      <c r="G105" s="1650"/>
      <c r="H105" s="1651"/>
      <c r="I105" s="1651"/>
      <c r="J105" s="1652" t="e">
        <f>SUM(I103:I104)</f>
        <v>#N/A</v>
      </c>
      <c r="K105"/>
    </row>
    <row r="106" spans="1:11" ht="16.5" thickTop="1">
      <c r="B106" s="1653" t="s">
        <v>500</v>
      </c>
      <c r="D106" s="1655"/>
      <c r="E106" s="1656"/>
      <c r="F106" s="1656"/>
      <c r="G106" s="1657"/>
      <c r="H106" s="1656"/>
      <c r="I106" s="1656"/>
      <c r="J106" s="1658"/>
      <c r="K106"/>
    </row>
    <row r="107" spans="1:11" ht="16.5" thickBot="1">
      <c r="A107" s="952">
        <v>179</v>
      </c>
      <c r="B107" s="1653"/>
      <c r="C107" s="1633" t="str">
        <f>'AMB-FTE'!D67</f>
        <v>Clerical Pool for Audiology &amp; Eye Care</v>
      </c>
      <c r="D107" s="1682">
        <f>'AMB-FTE'!M67</f>
        <v>0</v>
      </c>
      <c r="F107" s="1066" t="s">
        <v>1016</v>
      </c>
      <c r="G107" s="1644" t="s">
        <v>517</v>
      </c>
      <c r="H107" s="1645" t="e">
        <f>INDEX('Pay Scales'!$C$6:$D$30,MATCH(G107,'Pay Scales'!$C$6:$C$30,0),2)*(1+('Pay Scales'!$V$6*('Pay Scales'!$U$4=4)))*(1+('Pay Scales'!$D$2))</f>
        <v>#N/A</v>
      </c>
      <c r="I107" s="1645" t="e">
        <f>H107*D107</f>
        <v>#N/A</v>
      </c>
      <c r="J107" s="1646"/>
      <c r="K107" t="s">
        <v>601</v>
      </c>
    </row>
    <row r="108" spans="1:11" ht="17.25" thickTop="1" thickBot="1">
      <c r="B108" s="1632"/>
      <c r="C108" s="1647" t="s">
        <v>88</v>
      </c>
      <c r="D108" s="1692">
        <f>SUM(D107)</f>
        <v>0</v>
      </c>
      <c r="E108" s="1649"/>
      <c r="F108" s="1649"/>
      <c r="G108" s="1650"/>
      <c r="H108" s="1651"/>
      <c r="I108" s="1651"/>
      <c r="J108" s="1652" t="e">
        <f>SUM(I107)</f>
        <v>#N/A</v>
      </c>
    </row>
    <row r="109" spans="1:11" ht="16.5" thickTop="1">
      <c r="B109" s="1653" t="s">
        <v>281</v>
      </c>
      <c r="C109" s="1633"/>
      <c r="D109" s="1655"/>
      <c r="E109" s="1656"/>
      <c r="F109" s="1656"/>
      <c r="G109" s="1657"/>
      <c r="H109" s="1656"/>
      <c r="I109" s="1656"/>
      <c r="J109" s="1658"/>
      <c r="K109"/>
    </row>
    <row r="110" spans="1:11" ht="16.5" thickBot="1">
      <c r="A110" s="952">
        <v>302</v>
      </c>
      <c r="B110" s="1632"/>
      <c r="C110" s="1633" t="str">
        <f>'AMB-FTE'!D56</f>
        <v>Physical Therapist Supervisor</v>
      </c>
      <c r="D110" s="1682">
        <f>'AMB-FTE'!M56</f>
        <v>0</v>
      </c>
      <c r="F110" t="s">
        <v>976</v>
      </c>
      <c r="G110" s="1644" t="s">
        <v>510</v>
      </c>
      <c r="H110" s="1645" t="e">
        <f>INDEX('Pay Scales'!$C$6:$D$30,MATCH(G110,'Pay Scales'!$C$6:$C$30,0),2)*(1+('Pay Scales'!$V$6*('Pay Scales'!$U$4=4)))*(1+('Pay Scales'!$D$2))</f>
        <v>#N/A</v>
      </c>
      <c r="I110" s="1645" t="e">
        <f t="shared" ref="I110:I118" si="4">H110*D110</f>
        <v>#N/A</v>
      </c>
      <c r="J110" s="1646"/>
      <c r="K110" t="s">
        <v>601</v>
      </c>
    </row>
    <row r="111" spans="1:11" ht="17.25" thickTop="1" thickBot="1">
      <c r="A111" s="952">
        <v>304</v>
      </c>
      <c r="B111" s="1632"/>
      <c r="C111" s="1633" t="str">
        <f>'AMB-FTE'!D57</f>
        <v>Physical Therapist/Licensed PT Asst</v>
      </c>
      <c r="D111" s="1682">
        <f>'AMB-FTE'!M57</f>
        <v>0</v>
      </c>
      <c r="F111" t="s">
        <v>976</v>
      </c>
      <c r="G111" s="1644" t="s">
        <v>509</v>
      </c>
      <c r="H111" s="1645" t="e">
        <f>INDEX('Pay Scales'!$C$6:$D$30,MATCH(G111,'Pay Scales'!$C$6:$C$30,0),2)*(1+('Pay Scales'!$V$6*('Pay Scales'!$U$4=4)))*(1+('Pay Scales'!$D$2))</f>
        <v>#N/A</v>
      </c>
      <c r="I111" s="1645" t="e">
        <f t="shared" si="4"/>
        <v>#N/A</v>
      </c>
      <c r="J111" s="1646"/>
      <c r="K111" t="s">
        <v>601</v>
      </c>
    </row>
    <row r="112" spans="1:11" ht="17.25" thickTop="1" thickBot="1">
      <c r="A112" s="952">
        <v>303</v>
      </c>
      <c r="B112" s="1632"/>
      <c r="C112" s="1633" t="str">
        <f>'AMB-FTE'!D58</f>
        <v>Clerk/Physical Therapy Aide</v>
      </c>
      <c r="D112" s="1682">
        <f>'AMB-FTE'!M58</f>
        <v>0</v>
      </c>
      <c r="F112" t="s">
        <v>976</v>
      </c>
      <c r="G112" s="1644" t="s">
        <v>520</v>
      </c>
      <c r="H112" s="1645" t="e">
        <f>INDEX('Pay Scales'!$C$6:$D$30,MATCH(G112,'Pay Scales'!$C$6:$C$30,0),2)*(1+('Pay Scales'!$V$6*('Pay Scales'!$U$4=4)))*(1+('Pay Scales'!$D$2))</f>
        <v>#N/A</v>
      </c>
      <c r="I112" s="1645" t="e">
        <f t="shared" si="4"/>
        <v>#N/A</v>
      </c>
      <c r="J112" s="1646"/>
      <c r="K112" t="s">
        <v>601</v>
      </c>
    </row>
    <row r="113" spans="1:11" ht="17.25" thickTop="1" thickBot="1">
      <c r="A113" s="952">
        <v>305</v>
      </c>
      <c r="B113" s="1632"/>
      <c r="C113" s="1633" t="str">
        <f>'AMB-FTE'!D59</f>
        <v>OT Supervisor</v>
      </c>
      <c r="D113" s="1682">
        <f>'AMB-FTE'!M59</f>
        <v>0</v>
      </c>
      <c r="F113" t="s">
        <v>976</v>
      </c>
      <c r="G113" s="1644" t="s">
        <v>520</v>
      </c>
      <c r="H113" s="1645" t="e">
        <f>INDEX('Pay Scales'!$C$6:$D$30,MATCH(G113,'Pay Scales'!$C$6:$C$30,0),2)*(1+('Pay Scales'!$V$6*('Pay Scales'!$U$4=4)))*(1+('Pay Scales'!$D$2))</f>
        <v>#N/A</v>
      </c>
      <c r="I113" s="1645" t="e">
        <f t="shared" si="4"/>
        <v>#N/A</v>
      </c>
      <c r="J113" s="1646"/>
      <c r="K113" t="s">
        <v>601</v>
      </c>
    </row>
    <row r="114" spans="1:11" ht="17.25" thickTop="1" thickBot="1">
      <c r="A114" s="952">
        <v>306</v>
      </c>
      <c r="B114" s="1632"/>
      <c r="C114" s="1633" t="str">
        <f>'AMB-FTE'!D60</f>
        <v>OT Tech</v>
      </c>
      <c r="D114" s="1682">
        <f>'AMB-FTE'!M60</f>
        <v>0</v>
      </c>
      <c r="F114" t="s">
        <v>976</v>
      </c>
      <c r="G114" s="1644" t="s">
        <v>520</v>
      </c>
      <c r="H114" s="1645" t="e">
        <f>INDEX('Pay Scales'!$C$6:$D$30,MATCH(G114,'Pay Scales'!$C$6:$C$30,0),2)*(1+('Pay Scales'!$V$6*('Pay Scales'!$U$4=4)))*(1+('Pay Scales'!$D$2))</f>
        <v>#N/A</v>
      </c>
      <c r="I114" s="1645" t="e">
        <f t="shared" si="4"/>
        <v>#N/A</v>
      </c>
      <c r="J114" s="1646"/>
      <c r="K114" t="s">
        <v>601</v>
      </c>
    </row>
    <row r="115" spans="1:11" ht="17.25" thickTop="1" thickBot="1">
      <c r="A115" s="952">
        <v>307</v>
      </c>
      <c r="B115" s="1632"/>
      <c r="C115" s="1633" t="str">
        <f>'AMB-FTE'!D61</f>
        <v>Occupational Therapist</v>
      </c>
      <c r="D115" s="1682">
        <f>'AMB-FTE'!M61</f>
        <v>0</v>
      </c>
      <c r="F115" t="s">
        <v>976</v>
      </c>
      <c r="G115" s="1644" t="s">
        <v>520</v>
      </c>
      <c r="H115" s="1645" t="e">
        <f>INDEX('Pay Scales'!$C$6:$D$30,MATCH(G115,'Pay Scales'!$C$6:$C$30,0),2)*(1+('Pay Scales'!$V$6*('Pay Scales'!$U$4=4)))*(1+('Pay Scales'!$D$2))</f>
        <v>#N/A</v>
      </c>
      <c r="I115" s="1645" t="e">
        <f t="shared" si="4"/>
        <v>#N/A</v>
      </c>
      <c r="J115" s="1646"/>
      <c r="K115" t="s">
        <v>601</v>
      </c>
    </row>
    <row r="116" spans="1:11" ht="17.25" thickTop="1" thickBot="1">
      <c r="A116" s="952">
        <v>308</v>
      </c>
      <c r="B116" s="1632"/>
      <c r="C116" s="1633" t="str">
        <f>'AMB-FTE'!D62</f>
        <v>SLP Supervisor</v>
      </c>
      <c r="D116" s="1682">
        <f>'AMB-FTE'!M62</f>
        <v>0</v>
      </c>
      <c r="F116" t="s">
        <v>976</v>
      </c>
      <c r="G116" s="1644" t="s">
        <v>520</v>
      </c>
      <c r="H116" s="1645" t="e">
        <f>INDEX('Pay Scales'!$C$6:$D$30,MATCH(G116,'Pay Scales'!$C$6:$C$30,0),2)*(1+('Pay Scales'!$V$6*('Pay Scales'!$U$4=4)))*(1+('Pay Scales'!$D$2))</f>
        <v>#N/A</v>
      </c>
      <c r="I116" s="1645" t="e">
        <f t="shared" si="4"/>
        <v>#N/A</v>
      </c>
      <c r="J116" s="1646"/>
      <c r="K116" t="s">
        <v>601</v>
      </c>
    </row>
    <row r="117" spans="1:11" ht="17.25" thickTop="1" thickBot="1">
      <c r="A117" s="952">
        <v>309</v>
      </c>
      <c r="B117" s="1632"/>
      <c r="C117" s="1633" t="str">
        <f>'AMB-FTE'!D63</f>
        <v>SLP Pathologist</v>
      </c>
      <c r="D117" s="1682">
        <f>'AMB-FTE'!M63</f>
        <v>0</v>
      </c>
      <c r="F117" t="s">
        <v>976</v>
      </c>
      <c r="G117" s="1644" t="s">
        <v>520</v>
      </c>
      <c r="H117" s="1645" t="e">
        <f>INDEX('Pay Scales'!$C$6:$D$30,MATCH(G117,'Pay Scales'!$C$6:$C$30,0),2)*(1+('Pay Scales'!$V$6*('Pay Scales'!$U$4=4)))*(1+('Pay Scales'!$D$2))</f>
        <v>#N/A</v>
      </c>
      <c r="I117" s="1645" t="e">
        <f t="shared" si="4"/>
        <v>#N/A</v>
      </c>
      <c r="J117" s="1646"/>
      <c r="K117" t="s">
        <v>601</v>
      </c>
    </row>
    <row r="118" spans="1:11" ht="17.25" thickTop="1" thickBot="1">
      <c r="A118" s="952">
        <v>301</v>
      </c>
      <c r="B118" s="1632"/>
      <c r="C118" s="1633" t="str">
        <f>'AMB-FTE'!D64</f>
        <v>Rehab Clerks</v>
      </c>
      <c r="D118" s="1682">
        <f>'AMB-FTE'!M64</f>
        <v>0</v>
      </c>
      <c r="F118" t="s">
        <v>976</v>
      </c>
      <c r="G118" s="1644" t="s">
        <v>520</v>
      </c>
      <c r="H118" s="1645" t="e">
        <f>INDEX('Pay Scales'!$C$6:$D$30,MATCH(G118,'Pay Scales'!$C$6:$C$30,0),2)*(1+('Pay Scales'!$V$6*('Pay Scales'!$U$4=4)))*(1+('Pay Scales'!$D$2))</f>
        <v>#N/A</v>
      </c>
      <c r="I118" s="1645" t="e">
        <f t="shared" si="4"/>
        <v>#N/A</v>
      </c>
      <c r="J118" s="1646"/>
      <c r="K118" t="s">
        <v>601</v>
      </c>
    </row>
    <row r="119" spans="1:11" ht="17.25" thickTop="1" thickBot="1">
      <c r="B119" s="1632"/>
      <c r="C119" s="1647" t="s">
        <v>88</v>
      </c>
      <c r="D119" s="1692">
        <f>SUM(D110:D118)</f>
        <v>0</v>
      </c>
      <c r="E119" s="1649"/>
      <c r="F119" s="1649"/>
      <c r="G119" s="1650"/>
      <c r="H119" s="1651"/>
      <c r="I119" s="1651"/>
      <c r="J119" s="1652" t="e">
        <f>SUM(I110:I118)</f>
        <v>#N/A</v>
      </c>
      <c r="K119"/>
    </row>
    <row r="120" spans="1:11" ht="16.5" thickTop="1">
      <c r="B120" s="1653" t="s">
        <v>282</v>
      </c>
      <c r="C120" s="1633"/>
      <c r="D120" s="1655"/>
      <c r="E120" s="1656"/>
      <c r="F120" s="1656"/>
      <c r="G120" s="1657"/>
      <c r="H120" s="1656"/>
      <c r="I120" s="1656"/>
      <c r="J120" s="1658"/>
      <c r="K120"/>
    </row>
    <row r="121" spans="1:11">
      <c r="A121" s="952">
        <v>55</v>
      </c>
      <c r="B121" s="1632"/>
      <c r="C121" s="1633" t="str">
        <f>'AMB-FTE'!D69</f>
        <v>Dentist</v>
      </c>
      <c r="D121" s="1682">
        <f>SUM('AMB-FTE'!M69:M71)</f>
        <v>0</v>
      </c>
      <c r="F121" t="s">
        <v>977</v>
      </c>
      <c r="G121" s="1640" t="s">
        <v>511</v>
      </c>
      <c r="H121" s="1641" t="e">
        <f>INDEX('Pay Scales'!$H$11:$K$11,1,'Pay Scales'!U1)*(1+('Pay Scales'!$V$6*('Pay Scales'!$U$4=4)))*(1+('Pay Scales'!$D$2))</f>
        <v>#N/A</v>
      </c>
      <c r="I121" s="1641" t="e">
        <f t="shared" ref="I121:I127" si="5">H121*D121</f>
        <v>#N/A</v>
      </c>
      <c r="J121" s="1642"/>
      <c r="K121" t="s">
        <v>34</v>
      </c>
    </row>
    <row r="122" spans="1:11">
      <c r="A122" s="952">
        <v>54</v>
      </c>
      <c r="B122" s="1632"/>
      <c r="C122" s="1633" t="str">
        <f>'AMB-FTE'!D72</f>
        <v>Dental Health Aide Therapist (DHAT)</v>
      </c>
      <c r="D122" s="1682">
        <f>SUM('AMB-FTE'!M72:M73)</f>
        <v>0</v>
      </c>
      <c r="F122" t="s">
        <v>977</v>
      </c>
      <c r="G122" s="1640" t="s">
        <v>509</v>
      </c>
      <c r="H122" s="1641" t="e">
        <f>INDEX('Pay Scales'!$C$6:$D$30,MATCH(G122,'Pay Scales'!$C$6:$C$30,0),2)*(1+('Pay Scales'!$V$6*('Pay Scales'!$U$4=4)))*(1+('Pay Scales'!$D$2))</f>
        <v>#N/A</v>
      </c>
      <c r="I122" s="1641" t="e">
        <f t="shared" si="5"/>
        <v>#N/A</v>
      </c>
      <c r="J122" s="1642"/>
      <c r="K122" t="s">
        <v>34</v>
      </c>
    </row>
    <row r="123" spans="1:11">
      <c r="A123" s="952">
        <v>57</v>
      </c>
      <c r="B123" s="1632"/>
      <c r="C123" s="1633" t="str">
        <f>'AMB-FTE'!D74</f>
        <v>Dental Hygienist</v>
      </c>
      <c r="D123" s="1682">
        <f>'AMB-FTE'!M74</f>
        <v>0</v>
      </c>
      <c r="F123" t="s">
        <v>977</v>
      </c>
      <c r="G123" s="1640" t="s">
        <v>507</v>
      </c>
      <c r="H123" s="1641" t="e">
        <f>INDEX('Pay Scales'!$C$6:$D$30,MATCH(G123,'Pay Scales'!$C$6:$C$30,0),2)*(1+('Pay Scales'!$V$6*('Pay Scales'!$U$4=4)))*(1+('Pay Scales'!$D$2))</f>
        <v>#N/A</v>
      </c>
      <c r="I123" s="1641" t="e">
        <f t="shared" si="5"/>
        <v>#N/A</v>
      </c>
      <c r="J123" s="1642"/>
      <c r="K123" t="s">
        <v>34</v>
      </c>
    </row>
    <row r="124" spans="1:11">
      <c r="A124" s="952">
        <v>550</v>
      </c>
      <c r="B124" s="1632"/>
      <c r="C124" s="1633" t="str">
        <f>'AMB-FTE'!D75</f>
        <v>Deputy Dental Chief</v>
      </c>
      <c r="D124" s="1682">
        <f>'AMB-FTE'!M75</f>
        <v>0</v>
      </c>
      <c r="F124" t="s">
        <v>977</v>
      </c>
      <c r="G124" s="1640" t="s">
        <v>511</v>
      </c>
      <c r="H124" s="1641" t="e">
        <f>INDEX('Pay Scales'!$H$11:$K$11,1,'Pay Scales'!U4)*(1+('Pay Scales'!$V$6*('Pay Scales'!$U$4=4)))*(1+('Pay Scales'!$D$2))</f>
        <v>#N/A</v>
      </c>
      <c r="I124" s="1641" t="e">
        <f t="shared" si="5"/>
        <v>#N/A</v>
      </c>
      <c r="J124" s="1642"/>
      <c r="K124" t="s">
        <v>34</v>
      </c>
    </row>
    <row r="125" spans="1:11">
      <c r="A125" s="952">
        <v>56</v>
      </c>
      <c r="B125" s="1632"/>
      <c r="C125" s="1633" t="str">
        <f>'AMB-FTE'!D76</f>
        <v>Dental Assistant</v>
      </c>
      <c r="D125" s="1682">
        <f>'AMB-FTE'!M76</f>
        <v>0</v>
      </c>
      <c r="F125" t="s">
        <v>977</v>
      </c>
      <c r="G125" s="1640" t="s">
        <v>520</v>
      </c>
      <c r="H125" s="1641" t="e">
        <f>INDEX('Pay Scales'!$C$6:$D$30,MATCH(G125,'Pay Scales'!$C$6:$C$30,0),2)*(1+('Pay Scales'!$V$6*('Pay Scales'!$U$4=4)))*(1+('Pay Scales'!$D$2))</f>
        <v>#N/A</v>
      </c>
      <c r="I125" s="1641" t="e">
        <f t="shared" si="5"/>
        <v>#N/A</v>
      </c>
      <c r="J125" s="1642"/>
      <c r="K125" t="s">
        <v>34</v>
      </c>
    </row>
    <row r="126" spans="1:11">
      <c r="A126" s="952">
        <v>551</v>
      </c>
      <c r="B126" s="1632"/>
      <c r="C126" s="1633" t="str">
        <f>'AMB-FTE'!D77</f>
        <v>Dental Assistant Supervisor</v>
      </c>
      <c r="D126" s="1682">
        <f>'AMB-FTE'!M77</f>
        <v>0</v>
      </c>
      <c r="F126" t="s">
        <v>977</v>
      </c>
      <c r="G126" s="1640" t="s">
        <v>507</v>
      </c>
      <c r="H126" s="1641" t="e">
        <f>INDEX('Pay Scales'!$C$6:$D$30,MATCH(G126,'Pay Scales'!$C$6:$C$30,0),2)*(1+('Pay Scales'!$V$6*('Pay Scales'!$U$4=4)))*(1+('Pay Scales'!$D$2))</f>
        <v>#N/A</v>
      </c>
      <c r="I126" s="1641" t="e">
        <f t="shared" si="5"/>
        <v>#N/A</v>
      </c>
      <c r="J126" s="1642"/>
      <c r="K126" t="s">
        <v>34</v>
      </c>
    </row>
    <row r="127" spans="1:11" ht="16.5" thickBot="1">
      <c r="A127" s="952">
        <v>58</v>
      </c>
      <c r="B127" s="1632"/>
      <c r="C127" s="1633" t="str">
        <f>'AMB-FTE'!D78</f>
        <v>Clerical Support</v>
      </c>
      <c r="D127" s="1682">
        <f>'AMB-FTE'!M78</f>
        <v>0</v>
      </c>
      <c r="F127" t="s">
        <v>977</v>
      </c>
      <c r="G127" s="1640" t="s">
        <v>517</v>
      </c>
      <c r="H127" s="1641" t="e">
        <f>INDEX('Pay Scales'!$C$6:$D$30,MATCH(G127,'Pay Scales'!$C$6:$C$30,0),2)*(1+('Pay Scales'!$V$6*('Pay Scales'!$U$4=4)))*(1+('Pay Scales'!$D$2))</f>
        <v>#N/A</v>
      </c>
      <c r="I127" s="1645" t="e">
        <f t="shared" si="5"/>
        <v>#N/A</v>
      </c>
      <c r="J127" s="1646"/>
      <c r="K127" t="s">
        <v>34</v>
      </c>
    </row>
    <row r="128" spans="1:11" ht="17.25" thickTop="1" thickBot="1">
      <c r="B128" s="1632"/>
      <c r="C128" s="1647" t="s">
        <v>88</v>
      </c>
      <c r="D128" s="1692">
        <f>SUM(D121:D127)</f>
        <v>0</v>
      </c>
      <c r="E128" s="1649"/>
      <c r="F128" s="1649"/>
      <c r="G128" s="1678"/>
      <c r="H128" s="1679"/>
      <c r="I128" s="1679"/>
      <c r="J128" s="1680" t="e">
        <f>SUM(I121:I127)</f>
        <v>#N/A</v>
      </c>
      <c r="K128"/>
    </row>
    <row r="129" spans="1:11" ht="16.5" thickTop="1">
      <c r="B129" s="1653" t="s">
        <v>707</v>
      </c>
      <c r="C129" s="1693"/>
      <c r="D129" s="1655"/>
      <c r="E129" s="1656"/>
      <c r="F129" s="1656"/>
      <c r="G129" s="1657"/>
      <c r="H129" s="1656"/>
      <c r="I129" s="1656"/>
      <c r="J129" s="1658"/>
      <c r="K129"/>
    </row>
    <row r="130" spans="1:11">
      <c r="A130" s="952">
        <v>293</v>
      </c>
      <c r="B130" s="1632"/>
      <c r="C130" s="1694" t="str">
        <f>'AMB-FTE'!D81</f>
        <v>Podiatrist</v>
      </c>
      <c r="D130" s="1682">
        <f>'AMB-FTE'!M81</f>
        <v>0</v>
      </c>
      <c r="F130" s="1066" t="s">
        <v>978</v>
      </c>
      <c r="G130" s="1640" t="s">
        <v>511</v>
      </c>
      <c r="H130" s="1641" t="e">
        <f>INDEX('Pay Scales'!$G$6:$K$8,MATCH(G124,'Pay Scales'!$G$6:$G$8,0),'Pay Scales'!$U$4+1)*(1+('Pay Scales'!$V$6*('Pay Scales'!$U$4=4)))*(1+('Pay Scales'!$D$2))</f>
        <v>#N/A</v>
      </c>
      <c r="I130" s="1641" t="e">
        <f>H130*D130</f>
        <v>#N/A</v>
      </c>
      <c r="J130" s="1642"/>
      <c r="K130" t="s">
        <v>601</v>
      </c>
    </row>
    <row r="131" spans="1:11">
      <c r="A131" s="952">
        <v>290</v>
      </c>
      <c r="B131" s="1632"/>
      <c r="C131" s="1694" t="str">
        <f>'AMB-FTE'!D82</f>
        <v>Podiatry Assistant</v>
      </c>
      <c r="D131" s="1682">
        <f>'AMB-FTE'!M82</f>
        <v>0</v>
      </c>
      <c r="F131" s="1066" t="s">
        <v>978</v>
      </c>
      <c r="G131" s="1640" t="s">
        <v>518</v>
      </c>
      <c r="H131" s="1641" t="e">
        <f>INDEX('Pay Scales'!$C$6:$D$30,MATCH(G131,'Pay Scales'!$C$6:$C$30,0),2)*(1+('Pay Scales'!$V$6*('Pay Scales'!$U$4=4)))*(1+('Pay Scales'!$D$2))</f>
        <v>#N/A</v>
      </c>
      <c r="I131" s="1641" t="e">
        <f>H131*D131</f>
        <v>#N/A</v>
      </c>
      <c r="J131" s="1642"/>
      <c r="K131" t="s">
        <v>601</v>
      </c>
    </row>
    <row r="132" spans="1:11">
      <c r="A132" s="952">
        <v>291</v>
      </c>
      <c r="B132" s="1632"/>
      <c r="C132" s="1694" t="str">
        <f>'AMB-FTE'!D83</f>
        <v>Podiatry Nurse</v>
      </c>
      <c r="D132" s="1682">
        <f>'AMB-FTE'!M83</f>
        <v>0</v>
      </c>
      <c r="F132" s="1066" t="s">
        <v>978</v>
      </c>
      <c r="G132" s="1640" t="s">
        <v>507</v>
      </c>
      <c r="H132" s="1641" t="e">
        <f>INDEX('Pay Scales'!$C$6:$D$30,MATCH(G132,'Pay Scales'!$C$6:$C$30,0),2)*(1+('Pay Scales'!$V$6*('Pay Scales'!$U$4=4)))*(1+('Pay Scales'!$D$2))</f>
        <v>#N/A</v>
      </c>
      <c r="I132" s="1641" t="e">
        <f>H132*D132</f>
        <v>#N/A</v>
      </c>
      <c r="J132" s="1642"/>
      <c r="K132" t="s">
        <v>601</v>
      </c>
    </row>
    <row r="133" spans="1:11">
      <c r="A133" s="952">
        <v>289</v>
      </c>
      <c r="B133" s="1632"/>
      <c r="C133" s="1694" t="str">
        <f>'AMB-FTE'!D84</f>
        <v>Clerical Support</v>
      </c>
      <c r="D133" s="1682">
        <f>'AMB-FTE'!M84</f>
        <v>0</v>
      </c>
      <c r="F133" s="1066" t="s">
        <v>978</v>
      </c>
      <c r="G133" s="1640" t="s">
        <v>507</v>
      </c>
      <c r="H133" s="1641" t="e">
        <f>INDEX('Pay Scales'!$C$6:$D$30,MATCH(G133,'Pay Scales'!$C$6:$C$30,0),2)*(1+('Pay Scales'!$V$6*('Pay Scales'!$U$4=4)))*(1+('Pay Scales'!$D$2))</f>
        <v>#N/A</v>
      </c>
      <c r="I133" s="1641" t="e">
        <f>H133*D133</f>
        <v>#N/A</v>
      </c>
      <c r="J133" s="1642"/>
      <c r="K133" t="s">
        <v>601</v>
      </c>
    </row>
    <row r="134" spans="1:11" ht="16.5" thickBot="1">
      <c r="A134" s="952">
        <v>292</v>
      </c>
      <c r="B134" s="1632"/>
      <c r="C134" s="1694" t="str">
        <f>'AMB-FTE'!D85</f>
        <v>Wound Care Specalist</v>
      </c>
      <c r="D134" s="1682">
        <f>'AMB-FTE'!M85</f>
        <v>0</v>
      </c>
      <c r="F134" s="1066" t="s">
        <v>978</v>
      </c>
      <c r="G134" s="1640" t="s">
        <v>517</v>
      </c>
      <c r="H134" s="1641" t="e">
        <f>INDEX('Pay Scales'!$C$6:$D$30,MATCH(G134,'Pay Scales'!$C$6:$C$30,0),2)*(1+('Pay Scales'!$V$6*('Pay Scales'!$U$4=4)))*(1+('Pay Scales'!$D$2))</f>
        <v>#N/A</v>
      </c>
      <c r="I134" s="1645" t="e">
        <f>H134*D134</f>
        <v>#N/A</v>
      </c>
      <c r="J134" s="1646"/>
      <c r="K134" t="s">
        <v>601</v>
      </c>
    </row>
    <row r="135" spans="1:11" ht="17.25" thickTop="1" thickBot="1">
      <c r="B135" s="1632"/>
      <c r="C135" s="1647" t="s">
        <v>88</v>
      </c>
      <c r="D135" s="1692">
        <f>SUM(D130:D134)</f>
        <v>0</v>
      </c>
      <c r="E135" s="1649"/>
      <c r="F135" s="1649"/>
      <c r="G135" s="1678"/>
      <c r="H135" s="1679"/>
      <c r="I135" s="1679"/>
      <c r="J135" s="1680" t="e">
        <f>SUM(I130:I134)</f>
        <v>#N/A</v>
      </c>
      <c r="K135"/>
    </row>
    <row r="136" spans="1:11" ht="17.25" thickTop="1" thickBot="1">
      <c r="B136" s="1653" t="s">
        <v>1018</v>
      </c>
      <c r="C136" s="1674"/>
      <c r="D136" s="1627"/>
      <c r="E136" s="1628"/>
      <c r="F136" s="1628"/>
      <c r="G136" s="1629"/>
      <c r="H136" s="1628"/>
      <c r="I136" s="1628"/>
      <c r="J136" s="1630"/>
      <c r="K136"/>
    </row>
    <row r="137" spans="1:11">
      <c r="A137" s="952">
        <v>256</v>
      </c>
      <c r="B137" s="1736"/>
      <c r="C137" s="1737" t="str">
        <f>EMS!E8</f>
        <v>EMT-B</v>
      </c>
      <c r="D137" s="1738">
        <f>'EMS Worksheet'!D24</f>
        <v>0</v>
      </c>
      <c r="G137" s="1640" t="s">
        <v>520</v>
      </c>
      <c r="H137" s="1641" t="e">
        <f>INDEX('Pay Scales'!$C$5:$D$30,MATCH(G137,'Pay Scales'!$C$5:$C$30,0),2)*(1+('Pay Scales'!$V$6*('Pay Scales'!$U$4=4)))*(1+('Pay Scales'!$D$2))</f>
        <v>#N/A</v>
      </c>
      <c r="I137" s="1641" t="e">
        <f>H137*D137</f>
        <v>#N/A</v>
      </c>
      <c r="J137" s="1642"/>
      <c r="K137" t="s">
        <v>601</v>
      </c>
    </row>
    <row r="138" spans="1:11">
      <c r="A138" s="952">
        <v>257</v>
      </c>
      <c r="B138" s="1736"/>
      <c r="C138" s="1737" t="str">
        <f>EMS!E9</f>
        <v>EMT-I/P</v>
      </c>
      <c r="D138" s="1738">
        <f>'EMS Worksheet'!D25</f>
        <v>0</v>
      </c>
      <c r="G138" s="1640" t="s">
        <v>520</v>
      </c>
      <c r="H138" s="1641" t="e">
        <f>INDEX('Pay Scales'!$C$5:$D$30,MATCH(G138,'Pay Scales'!$C$5:$C$30,0),2)*(1+('Pay Scales'!$V$6*('Pay Scales'!$U$4=4)))*(1+('Pay Scales'!$D$2))</f>
        <v>#N/A</v>
      </c>
      <c r="I138" s="1641" t="e">
        <f>H138*D138</f>
        <v>#N/A</v>
      </c>
      <c r="J138" s="1642"/>
      <c r="K138" t="s">
        <v>601</v>
      </c>
    </row>
    <row r="139" spans="1:11">
      <c r="A139" s="952">
        <v>253</v>
      </c>
      <c r="B139" s="1736"/>
      <c r="C139" s="1737" t="str">
        <f>EMS!E10</f>
        <v>Clerks</v>
      </c>
      <c r="D139" s="1738">
        <f>'EMS Worksheet'!D26</f>
        <v>0</v>
      </c>
      <c r="G139" s="1640" t="s">
        <v>517</v>
      </c>
      <c r="H139" s="1641" t="e">
        <f>INDEX('Pay Scales'!$C$5:$D$30,MATCH(G139,'Pay Scales'!$C$5:$C$30,0),2)*(1+('Pay Scales'!$V$6*('Pay Scales'!$U$4=4)))*(1+('Pay Scales'!$D$2))</f>
        <v>#N/A</v>
      </c>
      <c r="I139" s="1641" t="e">
        <f>H139*D139</f>
        <v>#N/A</v>
      </c>
      <c r="J139" s="1642"/>
      <c r="K139" t="s">
        <v>601</v>
      </c>
    </row>
    <row r="140" spans="1:11" ht="16.5" thickBot="1">
      <c r="A140" s="952">
        <v>254</v>
      </c>
      <c r="B140" s="1736"/>
      <c r="C140" s="1737" t="str">
        <f>EMS!E11</f>
        <v>Supervisor</v>
      </c>
      <c r="D140" s="1675">
        <f>'EMS Worksheet'!D27</f>
        <v>0</v>
      </c>
      <c r="G140" s="1640" t="s">
        <v>507</v>
      </c>
      <c r="H140" s="1641" t="e">
        <f>INDEX('Pay Scales'!$C$5:$D$30,MATCH(G140,'Pay Scales'!$C$5:$C$30,0),2)*(1+('Pay Scales'!$V$6*('Pay Scales'!$U$4=4)))*(1+('Pay Scales'!$D$2))</f>
        <v>#N/A</v>
      </c>
      <c r="I140" s="1641" t="e">
        <f>H140*D140</f>
        <v>#N/A</v>
      </c>
      <c r="J140" s="1642"/>
      <c r="K140" t="s">
        <v>601</v>
      </c>
    </row>
    <row r="141" spans="1:11" ht="17.25" thickTop="1" thickBot="1">
      <c r="B141" s="1632"/>
      <c r="C141" s="1729" t="s">
        <v>88</v>
      </c>
      <c r="D141" s="1732">
        <f>SUM(D137:D140)</f>
        <v>0</v>
      </c>
      <c r="E141" s="1649"/>
      <c r="F141" s="1649"/>
      <c r="G141" s="1708"/>
      <c r="H141" s="1709"/>
      <c r="I141" s="1709"/>
      <c r="J141" s="1710" t="e">
        <f>SUM(I137:I140)</f>
        <v>#N/A</v>
      </c>
      <c r="K141"/>
    </row>
    <row r="142" spans="1:11" ht="16.5" thickTop="1">
      <c r="B142" s="1663" t="s">
        <v>979</v>
      </c>
      <c r="C142" s="1664"/>
      <c r="D142" s="1655"/>
      <c r="E142" s="1656"/>
      <c r="F142" s="1656"/>
      <c r="G142" s="1657"/>
      <c r="H142" s="1656"/>
      <c r="I142" s="1656"/>
      <c r="J142" s="1658"/>
      <c r="K142"/>
    </row>
    <row r="143" spans="1:11">
      <c r="C143" s="1696" t="str">
        <f>'AMB-FTE'!D88</f>
        <v>Ambulatory Adjustment 1</v>
      </c>
      <c r="D143" s="1639">
        <f>'AMB-FTE'!M88</f>
        <v>0</v>
      </c>
      <c r="G143" s="1640" t="s">
        <v>430</v>
      </c>
      <c r="H143" s="1641" t="e">
        <f>INDEX('Pay Scales'!$C$5:$D$30,MATCH(G143,'Pay Scales'!$C$5:$C$30,0),2)*(1+('Pay Scales'!$V$6*('Pay Scales'!$U$4=4)))*(1+('Pay Scales'!$D$2))</f>
        <v>#N/A</v>
      </c>
      <c r="I143" s="1641" t="e">
        <f t="shared" ref="I143:I148" si="6">H143*D143</f>
        <v>#N/A</v>
      </c>
      <c r="J143" s="1642"/>
      <c r="K143" t="s">
        <v>601</v>
      </c>
    </row>
    <row r="144" spans="1:11">
      <c r="C144" s="1696" t="str">
        <f>'AMB-FTE'!D89</f>
        <v>Ambulatory Adjustment 2</v>
      </c>
      <c r="D144" s="1639">
        <f>'AMB-FTE'!M89</f>
        <v>0</v>
      </c>
      <c r="G144" s="1640" t="s">
        <v>430</v>
      </c>
      <c r="H144" s="1641" t="e">
        <f>INDEX('Pay Scales'!$C$5:$D$30,MATCH(G144,'Pay Scales'!$C$5:$C$30,0),2)*(1+('Pay Scales'!$V$6*('Pay Scales'!$U$4=4)))*(1+('Pay Scales'!$D$2))</f>
        <v>#N/A</v>
      </c>
      <c r="I144" s="1641" t="e">
        <f t="shared" si="6"/>
        <v>#N/A</v>
      </c>
      <c r="J144" s="1642"/>
      <c r="K144" t="s">
        <v>601</v>
      </c>
    </row>
    <row r="145" spans="1:11">
      <c r="C145" s="1696" t="str">
        <f>'AMB-FTE'!D90</f>
        <v>Ambulatory Adjustment 3</v>
      </c>
      <c r="D145" s="1639">
        <f>'AMB-FTE'!M90</f>
        <v>0</v>
      </c>
      <c r="G145" s="1640" t="s">
        <v>430</v>
      </c>
      <c r="H145" s="1641" t="e">
        <f>INDEX('Pay Scales'!$C$5:$D$30,MATCH(G145,'Pay Scales'!$C$5:$C$30,0),2)*(1+('Pay Scales'!$V$6*('Pay Scales'!$U$4=4)))*(1+('Pay Scales'!$D$2))</f>
        <v>#N/A</v>
      </c>
      <c r="I145" s="1641" t="e">
        <f t="shared" si="6"/>
        <v>#N/A</v>
      </c>
      <c r="J145" s="1642"/>
      <c r="K145" t="s">
        <v>601</v>
      </c>
    </row>
    <row r="146" spans="1:11">
      <c r="C146" s="1696" t="str">
        <f>'AMB-FTE'!D91</f>
        <v>Ambulatory Adjustment 4</v>
      </c>
      <c r="D146" s="1639">
        <f>'AMB-FTE'!M91</f>
        <v>0</v>
      </c>
      <c r="G146" s="1640" t="s">
        <v>430</v>
      </c>
      <c r="H146" s="1641" t="e">
        <f>INDEX('Pay Scales'!$C$5:$D$30,MATCH(G146,'Pay Scales'!$C$5:$C$30,0),2)*(1+('Pay Scales'!$V$6*('Pay Scales'!$U$4=4)))*(1+('Pay Scales'!$D$2))</f>
        <v>#N/A</v>
      </c>
      <c r="I146" s="1641" t="e">
        <f t="shared" si="6"/>
        <v>#N/A</v>
      </c>
      <c r="J146" s="1642"/>
      <c r="K146" t="s">
        <v>601</v>
      </c>
    </row>
    <row r="147" spans="1:11">
      <c r="C147" s="1696" t="str">
        <f>'AMB-FTE'!D92</f>
        <v>Ambulatory Adjustment 5</v>
      </c>
      <c r="D147" s="1639">
        <f>'AMB-FTE'!M92</f>
        <v>0</v>
      </c>
      <c r="G147" s="1640" t="s">
        <v>430</v>
      </c>
      <c r="H147" s="1641" t="e">
        <f>INDEX('Pay Scales'!$C$5:$D$30,MATCH(G147,'Pay Scales'!$C$5:$C$30,0),2)*(1+('Pay Scales'!$V$6*('Pay Scales'!$U$4=4)))*(1+('Pay Scales'!$D$2))</f>
        <v>#N/A</v>
      </c>
      <c r="I147" s="1641" t="e">
        <f t="shared" si="6"/>
        <v>#N/A</v>
      </c>
      <c r="J147" s="1642"/>
      <c r="K147" t="s">
        <v>601</v>
      </c>
    </row>
    <row r="148" spans="1:11" ht="16.5" thickBot="1">
      <c r="C148" s="1696" t="str">
        <f>'AMB-FTE'!D93</f>
        <v>Ambulatory Adjustment 6</v>
      </c>
      <c r="D148" s="1639">
        <f>'AMB-FTE'!M93</f>
        <v>0</v>
      </c>
      <c r="G148" s="1640" t="s">
        <v>430</v>
      </c>
      <c r="H148" s="1645" t="e">
        <f>INDEX('Pay Scales'!$C$5:$D$30,MATCH(G148,'Pay Scales'!$C$5:$C$30,0),2)*(1+('Pay Scales'!$V$6*('Pay Scales'!$U$4=4)))*(1+('Pay Scales'!$D$2))</f>
        <v>#N/A</v>
      </c>
      <c r="I148" s="1645" t="e">
        <f t="shared" si="6"/>
        <v>#N/A</v>
      </c>
      <c r="J148" s="1646"/>
      <c r="K148" t="s">
        <v>601</v>
      </c>
    </row>
    <row r="149" spans="1:11" ht="18.600000000000001" customHeight="1" thickTop="1" thickBot="1">
      <c r="B149" s="1632"/>
      <c r="C149" s="1647" t="s">
        <v>88</v>
      </c>
      <c r="D149" s="1692">
        <f>SUM(D143:D148)</f>
        <v>0</v>
      </c>
      <c r="E149" s="1649"/>
      <c r="F149" s="1649"/>
      <c r="G149" s="1650"/>
      <c r="H149" s="1651"/>
      <c r="I149" s="1651"/>
      <c r="J149" s="1652" t="e">
        <f>SUM(I143:I148)</f>
        <v>#N/A</v>
      </c>
      <c r="K149"/>
    </row>
    <row r="150" spans="1:11" ht="18.75" customHeight="1" thickBot="1">
      <c r="A150" s="1619"/>
      <c r="B150" s="1697" t="s">
        <v>980</v>
      </c>
      <c r="C150" s="1698"/>
      <c r="D150" s="1699">
        <f>D149+D141+D135+D128+D108+D119+D105+D101+D94+D84+D81+D77+D71</f>
        <v>0</v>
      </c>
      <c r="E150" s="1670"/>
      <c r="F150" s="1670"/>
      <c r="G150" s="1671"/>
      <c r="H150" s="1672"/>
      <c r="I150" s="1672"/>
      <c r="J150" s="1673"/>
      <c r="K150"/>
    </row>
    <row r="151" spans="1:11" ht="16.5" thickTop="1">
      <c r="B151" s="1960" t="s">
        <v>981</v>
      </c>
      <c r="C151" s="1961"/>
      <c r="D151" s="1620"/>
      <c r="E151" s="1621"/>
      <c r="F151" s="1621"/>
      <c r="G151" s="1622"/>
      <c r="H151" s="1621"/>
      <c r="I151" s="1621"/>
      <c r="J151" s="1623"/>
      <c r="K151"/>
    </row>
    <row r="152" spans="1:11" ht="16.5" thickBot="1">
      <c r="B152" s="1653" t="s">
        <v>213</v>
      </c>
      <c r="C152" s="1674"/>
      <c r="D152" s="1627"/>
      <c r="E152" s="1628"/>
      <c r="F152" s="1628"/>
      <c r="G152" s="1629"/>
      <c r="H152" s="1628"/>
      <c r="I152" s="1628"/>
      <c r="J152" s="1630"/>
      <c r="K152"/>
    </row>
    <row r="153" spans="1:11">
      <c r="A153" s="952">
        <v>59</v>
      </c>
      <c r="B153" s="1632"/>
      <c r="C153" s="1773" t="str">
        <f>'INPAT&amp;ANCILLARY-FTE'!D76</f>
        <v>Medical Technologist</v>
      </c>
      <c r="D153" s="1639">
        <f>'INPAT&amp;ANCILLARY-FTE'!M76+'INPAT&amp;ANCILLARY-FTE'!M79+'INPAT&amp;ANCILLARY-FTE'!M81</f>
        <v>0</v>
      </c>
      <c r="F153" t="s">
        <v>982</v>
      </c>
      <c r="G153" s="1640" t="s">
        <v>509</v>
      </c>
      <c r="H153" s="1641" t="e">
        <f>INDEX('Pay Scales'!$C$6:$D$30,MATCH(G153,'Pay Scales'!$C$6:$C$30,0),2)*(1+('Pay Scales'!$V$6*('Pay Scales'!$U$4=4)))*(1+('Pay Scales'!$D$2))</f>
        <v>#N/A</v>
      </c>
      <c r="I153" s="1641" t="e">
        <f>H153*D153</f>
        <v>#N/A</v>
      </c>
      <c r="J153" s="1700"/>
      <c r="K153" t="s">
        <v>601</v>
      </c>
    </row>
    <row r="154" spans="1:11">
      <c r="A154" s="952">
        <v>61</v>
      </c>
      <c r="B154" s="1632"/>
      <c r="C154" s="1633" t="str">
        <f>'INPAT&amp;ANCILLARY-FTE'!D77</f>
        <v>Medical Technician</v>
      </c>
      <c r="D154" s="1682">
        <f>'INPAT&amp;ANCILLARY-FTE'!M77+'INPAT&amp;ANCILLARY-FTE'!M80</f>
        <v>0</v>
      </c>
      <c r="F154" t="s">
        <v>982</v>
      </c>
      <c r="G154" s="1640" t="s">
        <v>519</v>
      </c>
      <c r="H154" s="1641" t="e">
        <f>INDEX('Pay Scales'!$C$6:$D$30,MATCH(G154,'Pay Scales'!$C$6:$C$30,0),2)*(1+('Pay Scales'!$V$6*('Pay Scales'!$U$4=4)))*(1+('Pay Scales'!$D$2))</f>
        <v>#N/A</v>
      </c>
      <c r="I154" s="1641" t="e">
        <f>H154*D154</f>
        <v>#N/A</v>
      </c>
      <c r="J154" s="1700"/>
      <c r="K154" t="s">
        <v>601</v>
      </c>
    </row>
    <row r="155" spans="1:11" ht="16.5" thickBot="1">
      <c r="A155" s="952">
        <v>60</v>
      </c>
      <c r="B155" s="1632"/>
      <c r="C155" s="1633" t="str">
        <f>'INPAT&amp;ANCILLARY-FTE'!D78</f>
        <v>Medical Technician (CHA/P)</v>
      </c>
      <c r="D155" s="1682">
        <f>'INPAT&amp;ANCILLARY-FTE'!M78</f>
        <v>0</v>
      </c>
      <c r="G155" s="1640" t="s">
        <v>519</v>
      </c>
      <c r="H155" s="1641" t="e">
        <f>INDEX('Pay Scales'!$C$6:$D$30,MATCH(G155,'Pay Scales'!$C$6:$C$30,0),2)*(1+('Pay Scales'!$V$6*('Pay Scales'!$U$4=4)))*(1+('Pay Scales'!$D$2))</f>
        <v>#N/A</v>
      </c>
      <c r="I155" s="1645" t="e">
        <f>H155*D155</f>
        <v>#N/A</v>
      </c>
      <c r="J155" s="1646"/>
      <c r="K155" t="s">
        <v>601</v>
      </c>
    </row>
    <row r="156" spans="1:11" ht="17.25" thickTop="1" thickBot="1">
      <c r="B156" s="1632"/>
      <c r="C156" s="1647" t="s">
        <v>88</v>
      </c>
      <c r="D156" s="1692">
        <f>SUM(D153:D155)</f>
        <v>0</v>
      </c>
      <c r="E156" s="1649"/>
      <c r="F156" s="1649"/>
      <c r="G156" s="1650"/>
      <c r="H156" s="1651"/>
      <c r="I156" s="1651"/>
      <c r="J156" s="1652" t="e">
        <f>SUM(I153:I155)</f>
        <v>#N/A</v>
      </c>
      <c r="K156"/>
    </row>
    <row r="157" spans="1:11" ht="16.5" thickTop="1">
      <c r="B157" s="1653" t="s">
        <v>222</v>
      </c>
      <c r="C157" s="1693"/>
      <c r="D157" s="1655"/>
      <c r="G157" s="1701"/>
      <c r="H157" s="1641"/>
      <c r="I157" s="1641"/>
      <c r="J157" s="1642"/>
      <c r="K157"/>
    </row>
    <row r="158" spans="1:11">
      <c r="A158" s="1702" t="s">
        <v>983</v>
      </c>
      <c r="B158" s="1653"/>
      <c r="C158" s="1703" t="str">
        <f>'INPAT&amp;ANCILLARY-FTE'!D84</f>
        <v>Pharmacist, Supervisor</v>
      </c>
      <c r="D158" s="1634">
        <f>'INPAT&amp;ANCILLARY-FTE'!M84+'INPAT&amp;ANCILLARY-FTE'!M92</f>
        <v>0</v>
      </c>
      <c r="F158" t="s">
        <v>984</v>
      </c>
      <c r="G158" s="1640" t="s">
        <v>510</v>
      </c>
      <c r="H158" s="1641" t="e">
        <f>'Pay Scales'!$H$13*(1+('Pay Scales'!$V$6*('Pay Scales'!$U$4=4)))*(1+('Pay Scales'!$D$2))</f>
        <v>#N/A</v>
      </c>
      <c r="I158" s="1641" t="e">
        <f t="shared" ref="I158:I164" si="7">H158*D158</f>
        <v>#N/A</v>
      </c>
      <c r="J158" s="1700"/>
      <c r="K158" t="s">
        <v>601</v>
      </c>
    </row>
    <row r="159" spans="1:11">
      <c r="A159" s="952">
        <v>414</v>
      </c>
      <c r="B159" s="1653"/>
      <c r="C159" s="1704" t="s">
        <v>746</v>
      </c>
      <c r="D159" s="1705">
        <f>'INPAT&amp;ANCILLARY-FTE'!M85</f>
        <v>0</v>
      </c>
      <c r="G159" s="1640" t="s">
        <v>510</v>
      </c>
      <c r="H159" s="1641" t="e">
        <f>'Pay Scales'!$H$13*(1+('Pay Scales'!$V$6*('Pay Scales'!$U$4=4)))*(1+('Pay Scales'!$D$2))</f>
        <v>#N/A</v>
      </c>
      <c r="I159" s="1641" t="e">
        <f t="shared" si="7"/>
        <v>#N/A</v>
      </c>
      <c r="J159" s="1700"/>
      <c r="K159" t="s">
        <v>601</v>
      </c>
    </row>
    <row r="160" spans="1:11">
      <c r="A160" s="1702" t="s">
        <v>985</v>
      </c>
      <c r="B160" s="1653"/>
      <c r="C160" s="1704" t="s">
        <v>223</v>
      </c>
      <c r="D160" s="1705">
        <f>SUM('INPAT&amp;ANCILLARY-FTE'!M86,'INPAT&amp;ANCILLARY-FTE'!M87,'INPAT&amp;ANCILLARY-FTE'!M88,'INPAT&amp;ANCILLARY-FTE'!M93,'INPAT&amp;ANCILLARY-FTE'!M95,'INPAT&amp;ANCILLARY-FTE'!M96)</f>
        <v>0</v>
      </c>
      <c r="G160" s="1640" t="s">
        <v>510</v>
      </c>
      <c r="H160" s="1641" t="e">
        <f>'Pay Scales'!$H$13*(1+('Pay Scales'!$V$6*('Pay Scales'!$U$4=4)))*(1+('Pay Scales'!$D$2))</f>
        <v>#N/A</v>
      </c>
      <c r="I160" s="1641" t="e">
        <f t="shared" si="7"/>
        <v>#N/A</v>
      </c>
      <c r="J160" s="1700"/>
      <c r="K160" t="s">
        <v>601</v>
      </c>
    </row>
    <row r="161" spans="1:11">
      <c r="A161" s="952">
        <v>63</v>
      </c>
      <c r="B161" s="1653"/>
      <c r="C161" s="1703" t="str">
        <f>'INPAT&amp;ANCILLARY-FTE'!D89</f>
        <v>Pharmacist (CHA/P)</v>
      </c>
      <c r="D161" s="1705">
        <f>'INPAT&amp;ANCILLARY-FTE'!M89</f>
        <v>0</v>
      </c>
      <c r="F161" t="s">
        <v>984</v>
      </c>
      <c r="G161" s="1640" t="s">
        <v>510</v>
      </c>
      <c r="H161" s="1641" t="e">
        <f>'Pay Scales'!$H$13*(1+('Pay Scales'!$V$6*('Pay Scales'!$U$4=4)))*(1+('Pay Scales'!$D$2))</f>
        <v>#N/A</v>
      </c>
      <c r="I161" s="1641" t="e">
        <f t="shared" si="7"/>
        <v>#N/A</v>
      </c>
      <c r="J161" s="1700"/>
      <c r="K161" t="s">
        <v>601</v>
      </c>
    </row>
    <row r="162" spans="1:11">
      <c r="A162" s="1702" t="s">
        <v>986</v>
      </c>
      <c r="B162" s="1653"/>
      <c r="C162" s="1703" t="str">
        <f>'INPAT&amp;ANCILLARY-FTE'!D90</f>
        <v>Pharmacist Technician</v>
      </c>
      <c r="D162" s="1705">
        <f>SUM('INPAT&amp;ANCILLARY-FTE'!M90,'INPAT&amp;ANCILLARY-FTE'!M94)</f>
        <v>0</v>
      </c>
      <c r="G162" s="1640" t="s">
        <v>518</v>
      </c>
      <c r="H162" s="1641" t="e">
        <f>INDEX('Pay Scales'!$C$6:$D$30,MATCH(G162,'Pay Scales'!$C$6:$C$30,0),2)*(1+('Pay Scales'!$V$6*('Pay Scales'!$U$4=4)))*(1+('Pay Scales'!$D$2))</f>
        <v>#N/A</v>
      </c>
      <c r="I162" s="1641" t="e">
        <f t="shared" si="7"/>
        <v>#N/A</v>
      </c>
      <c r="J162" s="1700"/>
      <c r="K162" t="s">
        <v>601</v>
      </c>
    </row>
    <row r="163" spans="1:11">
      <c r="A163" s="952">
        <v>420</v>
      </c>
      <c r="B163" s="1653"/>
      <c r="C163" s="1704" t="s">
        <v>766</v>
      </c>
      <c r="D163" s="1705">
        <f>'INPAT&amp;ANCILLARY-FTE'!M91</f>
        <v>0</v>
      </c>
      <c r="G163" s="1640" t="s">
        <v>518</v>
      </c>
      <c r="H163" s="1641" t="e">
        <f>INDEX('Pay Scales'!$C$6:$D$30,MATCH(G163,'Pay Scales'!$C$6:$C$30,0),2)*(1+('Pay Scales'!$V$6*('Pay Scales'!$U$4=4)))*(1+('Pay Scales'!$D$2))</f>
        <v>#N/A</v>
      </c>
      <c r="I163" s="1641" t="e">
        <f t="shared" si="7"/>
        <v>#N/A</v>
      </c>
      <c r="J163" s="1700"/>
      <c r="K163" t="s">
        <v>601</v>
      </c>
    </row>
    <row r="164" spans="1:11" ht="16.5" thickBot="1">
      <c r="A164" s="966">
        <v>183</v>
      </c>
      <c r="B164" s="1653"/>
      <c r="C164" s="1703" t="str">
        <f>'INPAT&amp;ANCILLARY-FTE'!D97</f>
        <v>Pharmacy Billing Specialist</v>
      </c>
      <c r="D164" s="1682">
        <f>'INPAT&amp;ANCILLARY-FTE'!M97</f>
        <v>0</v>
      </c>
      <c r="F164" t="s">
        <v>984</v>
      </c>
      <c r="G164" s="1640" t="s">
        <v>518</v>
      </c>
      <c r="H164" s="1641" t="e">
        <f>INDEX('Pay Scales'!$C$6:$D$30,MATCH(G164,'Pay Scales'!$C$6:$C$30,0),2)*(1+('Pay Scales'!$V$6*('Pay Scales'!$U$4=4)))*(1+('Pay Scales'!$D$2))</f>
        <v>#N/A</v>
      </c>
      <c r="I164" s="1641" t="e">
        <f t="shared" si="7"/>
        <v>#N/A</v>
      </c>
      <c r="J164" s="1700"/>
      <c r="K164" t="s">
        <v>601</v>
      </c>
    </row>
    <row r="165" spans="1:11" ht="17.25" thickTop="1" thickBot="1">
      <c r="B165" s="1653"/>
      <c r="C165" s="1647" t="s">
        <v>88</v>
      </c>
      <c r="D165" s="1692">
        <f>SUM(D158:D164)</f>
        <v>0</v>
      </c>
      <c r="E165" s="1649"/>
      <c r="F165" s="1649"/>
      <c r="G165" s="1650"/>
      <c r="H165" s="1651"/>
      <c r="I165" s="1651"/>
      <c r="J165" s="1652" t="e">
        <f>SUM(I158:I164)</f>
        <v>#N/A</v>
      </c>
      <c r="K165"/>
    </row>
    <row r="166" spans="1:11" ht="16.5" thickTop="1">
      <c r="B166" s="1653" t="s">
        <v>987</v>
      </c>
      <c r="C166" s="1693"/>
      <c r="D166" s="1655"/>
      <c r="E166" s="1656"/>
      <c r="F166" s="1656"/>
      <c r="G166" s="1657"/>
      <c r="H166" s="1656"/>
      <c r="I166" s="1656"/>
      <c r="J166" s="1658"/>
      <c r="K166"/>
    </row>
    <row r="167" spans="1:11">
      <c r="A167" s="952">
        <v>65</v>
      </c>
      <c r="B167" s="1632"/>
      <c r="C167" s="1633" t="str">
        <f>'INPAT&amp;ANCILLARY-FTE'!D101</f>
        <v>Imaging Technologist</v>
      </c>
      <c r="D167" s="1639">
        <f>'INPAT&amp;ANCILLARY-FTE'!M103+'INPAT&amp;ANCILLARY-FTE'!M101+'INPAT&amp;ANCILLARY-FTE'!M100</f>
        <v>0</v>
      </c>
      <c r="F167" t="s">
        <v>988</v>
      </c>
      <c r="G167" s="1640" t="s">
        <v>507</v>
      </c>
      <c r="H167" s="1641" t="e">
        <f>INDEX('Pay Scales'!$C$6:$D$30,MATCH(G167,'Pay Scales'!$C$6:$C$30,0),2)*(1+('Pay Scales'!$V$6*('Pay Scales'!$U$4=4)))*(1+('Pay Scales'!$D$2))</f>
        <v>#N/A</v>
      </c>
      <c r="I167" s="1641" t="e">
        <f>H167*D167</f>
        <v>#N/A</v>
      </c>
      <c r="J167" s="1700"/>
      <c r="K167" t="s">
        <v>601</v>
      </c>
    </row>
    <row r="168" spans="1:11" ht="16.5" thickBot="1">
      <c r="A168" s="952">
        <v>66</v>
      </c>
      <c r="B168" s="1632"/>
      <c r="C168" s="1633" t="str">
        <f>'INPAT&amp;ANCILLARY-FTE'!D102</f>
        <v>Imaging Technologist (CHA/P)</v>
      </c>
      <c r="D168" s="1682">
        <f>'INPAT&amp;ANCILLARY-FTE'!M102</f>
        <v>0</v>
      </c>
      <c r="G168" s="1640" t="s">
        <v>507</v>
      </c>
      <c r="H168" s="1641" t="e">
        <f>INDEX('Pay Scales'!$C$6:$D$30,MATCH(G168,'Pay Scales'!$C$6:$C$30,0),2)*(1+('Pay Scales'!$V$6*('Pay Scales'!$U$4=4)))*(1+('Pay Scales'!$D$2))</f>
        <v>#N/A</v>
      </c>
      <c r="I168" s="1641" t="e">
        <f>H168*D168</f>
        <v>#N/A</v>
      </c>
      <c r="J168" s="1700"/>
      <c r="K168" t="s">
        <v>601</v>
      </c>
    </row>
    <row r="169" spans="1:11" ht="17.25" thickTop="1" thickBot="1">
      <c r="B169" s="1632"/>
      <c r="C169" s="1647" t="s">
        <v>88</v>
      </c>
      <c r="D169" s="1692">
        <f>SUM(D167:D168)</f>
        <v>0</v>
      </c>
      <c r="E169" s="1649"/>
      <c r="F169" s="1649"/>
      <c r="G169" s="1650"/>
      <c r="H169" s="1651"/>
      <c r="I169" s="1651"/>
      <c r="J169" s="1652" t="e">
        <f>SUM(I167:I168)</f>
        <v>#N/A</v>
      </c>
      <c r="K169"/>
    </row>
    <row r="170" spans="1:11" ht="16.5" thickTop="1">
      <c r="B170" s="1653" t="s">
        <v>615</v>
      </c>
      <c r="C170" s="1693"/>
      <c r="D170" s="1655"/>
      <c r="E170" s="1656"/>
      <c r="F170" s="1656"/>
      <c r="G170" s="1657"/>
      <c r="H170" s="1656"/>
      <c r="I170" s="1656"/>
      <c r="J170" s="1658"/>
      <c r="K170"/>
    </row>
    <row r="171" spans="1:11">
      <c r="A171" s="952">
        <v>263</v>
      </c>
      <c r="B171" s="1632"/>
      <c r="C171" s="1633" t="str">
        <f>'INPAT&amp;ANCILLARY-FTE'!D106</f>
        <v>Health Information Management Administrator</v>
      </c>
      <c r="D171" s="1639">
        <f>'INPAT&amp;ANCILLARY-FTE'!M106</f>
        <v>0</v>
      </c>
      <c r="F171" t="s">
        <v>989</v>
      </c>
      <c r="G171" s="1640" t="s">
        <v>510</v>
      </c>
      <c r="H171" s="1641" t="e">
        <f>INDEX('Pay Scales'!$C$6:$D$30,MATCH(G171,'Pay Scales'!$C$6:$C$30,0),2)*(1+('Pay Scales'!$V$6*('Pay Scales'!$U$4=4)))*(1+('Pay Scales'!$D$2))</f>
        <v>#N/A</v>
      </c>
      <c r="I171" s="1641" t="e">
        <f t="shared" ref="I171:I178" si="8">H171*D171</f>
        <v>#N/A</v>
      </c>
      <c r="J171" s="1700"/>
      <c r="K171" t="s">
        <v>601</v>
      </c>
    </row>
    <row r="172" spans="1:11">
      <c r="A172" s="952">
        <v>261</v>
      </c>
      <c r="B172" s="1632"/>
      <c r="C172" s="1633" t="str">
        <f>'INPAT&amp;ANCILLARY-FTE'!D107</f>
        <v>Health Information Management Technician</v>
      </c>
      <c r="D172" s="1639">
        <f>'INPAT&amp;ANCILLARY-FTE'!M107</f>
        <v>0</v>
      </c>
      <c r="G172" s="1640" t="s">
        <v>518</v>
      </c>
      <c r="H172" s="1641" t="e">
        <f>INDEX('Pay Scales'!$C$6:$D$30,MATCH(G172,'Pay Scales'!$C$6:$C$30,0),2)*(1+('Pay Scales'!$V$6*('Pay Scales'!$U$4=4)))*(1+('Pay Scales'!$D$2))</f>
        <v>#N/A</v>
      </c>
      <c r="I172" s="1641" t="e">
        <f t="shared" si="8"/>
        <v>#N/A</v>
      </c>
      <c r="J172" s="1700"/>
      <c r="K172" t="s">
        <v>601</v>
      </c>
    </row>
    <row r="173" spans="1:11">
      <c r="A173" s="952">
        <v>421</v>
      </c>
      <c r="B173" s="1632"/>
      <c r="C173" s="1633" t="str">
        <f>'INPAT&amp;ANCILLARY-FTE'!D109</f>
        <v>Health Information Management Technician (CHA/P)</v>
      </c>
      <c r="D173" s="1639">
        <f>'INPAT&amp;ANCILLARY-FTE'!M109</f>
        <v>0</v>
      </c>
      <c r="G173" s="1640" t="s">
        <v>518</v>
      </c>
      <c r="H173" s="1641" t="e">
        <f>INDEX('Pay Scales'!$C$6:$D$30,MATCH(G173,'Pay Scales'!$C$6:$C$30,0),2)*(1+('Pay Scales'!$V$6*('Pay Scales'!$U$4=4)))*(1+('Pay Scales'!$D$2))</f>
        <v>#N/A</v>
      </c>
      <c r="I173" s="1641" t="e">
        <f t="shared" si="8"/>
        <v>#N/A</v>
      </c>
      <c r="J173" s="1700"/>
      <c r="K173" t="s">
        <v>601</v>
      </c>
    </row>
    <row r="174" spans="1:11">
      <c r="A174" s="952">
        <v>267</v>
      </c>
      <c r="B174" s="1632"/>
      <c r="C174" s="1633" t="str">
        <f>'INPAT&amp;ANCILLARY-FTE'!D110</f>
        <v>PCC Supervisor</v>
      </c>
      <c r="D174" s="1639">
        <f>'INPAT&amp;ANCILLARY-FTE'!M110</f>
        <v>0</v>
      </c>
      <c r="F174" t="s">
        <v>989</v>
      </c>
      <c r="G174" s="1640" t="s">
        <v>507</v>
      </c>
      <c r="H174" s="1641" t="e">
        <f>INDEX('Pay Scales'!$C$6:$D$30,MATCH(G174,'Pay Scales'!$C$6:$C$30,0),2)*(1+('Pay Scales'!$V$6*('Pay Scales'!$U$4=4)))*(1+('Pay Scales'!$D$2))</f>
        <v>#N/A</v>
      </c>
      <c r="I174" s="1641" t="e">
        <f t="shared" si="8"/>
        <v>#N/A</v>
      </c>
      <c r="J174" s="1700"/>
      <c r="K174" t="s">
        <v>601</v>
      </c>
    </row>
    <row r="175" spans="1:11">
      <c r="A175" s="952">
        <v>266</v>
      </c>
      <c r="B175" s="1632"/>
      <c r="C175" s="1633" t="str">
        <f>'INPAT&amp;ANCILLARY-FTE'!D111</f>
        <v>PCC Data Entry Personnel</v>
      </c>
      <c r="D175" s="1639">
        <f>'INPAT&amp;ANCILLARY-FTE'!M111</f>
        <v>0</v>
      </c>
      <c r="F175" t="s">
        <v>989</v>
      </c>
      <c r="G175" s="1640" t="s">
        <v>517</v>
      </c>
      <c r="H175" s="1641" t="e">
        <f>INDEX('Pay Scales'!$C$6:$D$30,MATCH(G175,'Pay Scales'!$C$6:$C$30,0),2)*(1+('Pay Scales'!$V$6*('Pay Scales'!$U$4=4)))*(1+('Pay Scales'!$D$2))</f>
        <v>#N/A</v>
      </c>
      <c r="I175" s="1641" t="e">
        <f t="shared" si="8"/>
        <v>#N/A</v>
      </c>
      <c r="J175" s="1700"/>
      <c r="K175" t="s">
        <v>601</v>
      </c>
    </row>
    <row r="176" spans="1:11">
      <c r="A176" s="952">
        <v>430</v>
      </c>
      <c r="B176" s="1632"/>
      <c r="C176" s="1633" t="str">
        <f>'INPAT&amp;ANCILLARY-FTE'!D112</f>
        <v>PCC Data Entry Personnel (CHA/P)</v>
      </c>
      <c r="D176" s="1639">
        <f>'INPAT&amp;ANCILLARY-FTE'!M112</f>
        <v>0</v>
      </c>
      <c r="F176" t="s">
        <v>989</v>
      </c>
      <c r="G176" s="1640" t="s">
        <v>517</v>
      </c>
      <c r="H176" s="1641" t="e">
        <f>INDEX('Pay Scales'!$C$6:$D$30,MATCH(G176,'Pay Scales'!$C$6:$C$30,0),2)*(1+('Pay Scales'!$V$6*('Pay Scales'!$U$4=4)))*(1+('Pay Scales'!$D$2))</f>
        <v>#N/A</v>
      </c>
      <c r="I176" s="1641" t="e">
        <f t="shared" si="8"/>
        <v>#N/A</v>
      </c>
      <c r="J176" s="1700"/>
      <c r="K176" t="s">
        <v>601</v>
      </c>
    </row>
    <row r="177" spans="1:11">
      <c r="A177" s="952">
        <v>268</v>
      </c>
      <c r="B177" s="1632"/>
      <c r="C177" s="1633" t="str">
        <f>'INPAT&amp;ANCILLARY-FTE'!D113</f>
        <v>Coder</v>
      </c>
      <c r="D177" s="1639">
        <f>'INPAT&amp;ANCILLARY-FTE'!M113+'INPAT&amp;ANCILLARY-FTE'!M114</f>
        <v>0</v>
      </c>
      <c r="F177" t="s">
        <v>989</v>
      </c>
      <c r="G177" s="1640" t="s">
        <v>517</v>
      </c>
      <c r="H177" s="1641" t="e">
        <f>INDEX('Pay Scales'!$C$6:$D$30,MATCH(G177,'Pay Scales'!$C$6:$C$30,0),2)*(1+('Pay Scales'!$V$6*('Pay Scales'!$U$4=4)))*(1+('Pay Scales'!$D$2))</f>
        <v>#N/A</v>
      </c>
      <c r="I177" s="1641" t="e">
        <f t="shared" si="8"/>
        <v>#N/A</v>
      </c>
      <c r="J177" s="1700"/>
      <c r="K177" t="s">
        <v>601</v>
      </c>
    </row>
    <row r="178" spans="1:11" ht="16.5" thickBot="1">
      <c r="A178" s="952">
        <v>264</v>
      </c>
      <c r="B178" s="1632"/>
      <c r="C178" s="1633" t="str">
        <f>'INPAT&amp;ANCILLARY-FTE'!D115</f>
        <v>Medical Runner</v>
      </c>
      <c r="D178" s="1639">
        <f>'INPAT&amp;ANCILLARY-FTE'!M115</f>
        <v>0</v>
      </c>
      <c r="F178" t="s">
        <v>989</v>
      </c>
      <c r="G178" s="1640" t="s">
        <v>517</v>
      </c>
      <c r="H178" s="1641" t="e">
        <f>INDEX('Pay Scales'!$C$6:$D$30,MATCH(G178,'Pay Scales'!$C$6:$C$30,0),2)*(1+('Pay Scales'!$V$6*('Pay Scales'!$U$4=4)))*(1+('Pay Scales'!$D$2))</f>
        <v>#N/A</v>
      </c>
      <c r="I178" s="1641" t="e">
        <f t="shared" si="8"/>
        <v>#N/A</v>
      </c>
      <c r="J178" s="1700"/>
      <c r="K178" t="s">
        <v>601</v>
      </c>
    </row>
    <row r="179" spans="1:11" ht="17.25" thickTop="1" thickBot="1">
      <c r="B179" s="1632"/>
      <c r="C179" s="1647" t="s">
        <v>88</v>
      </c>
      <c r="D179" s="1706">
        <f>SUM(D171:D178)</f>
        <v>0</v>
      </c>
      <c r="E179" s="1649"/>
      <c r="F179" s="1649"/>
      <c r="G179" s="1650"/>
      <c r="H179" s="1651"/>
      <c r="I179" s="1651"/>
      <c r="J179" s="1652" t="e">
        <f>SUM(I171:I178)</f>
        <v>#N/A</v>
      </c>
      <c r="K179"/>
    </row>
    <row r="180" spans="1:11" ht="16.5" thickTop="1">
      <c r="B180" s="1653" t="s">
        <v>242</v>
      </c>
      <c r="C180" s="1693"/>
      <c r="D180" s="1655"/>
      <c r="E180" s="1656"/>
      <c r="F180" s="1656"/>
      <c r="G180" s="1657"/>
      <c r="H180" s="1656"/>
      <c r="I180" s="1656"/>
      <c r="J180" s="1658"/>
      <c r="K180"/>
    </row>
    <row r="181" spans="1:11" ht="16.5" thickBot="1">
      <c r="A181" s="952">
        <v>67</v>
      </c>
      <c r="B181" s="1632"/>
      <c r="C181" s="1693" t="str">
        <f>'INPAT&amp;ANCILLARY-FTE'!D118</f>
        <v>Respiratory Staff</v>
      </c>
      <c r="D181" s="1643">
        <f>'INPAT&amp;ANCILLARY-FTE'!M118</f>
        <v>0</v>
      </c>
      <c r="F181" t="s">
        <v>990</v>
      </c>
      <c r="G181" s="1644" t="s">
        <v>521</v>
      </c>
      <c r="H181" s="1645" t="e">
        <f>INDEX('Pay Scales'!$C$6:$D$30,MATCH(G181,'Pay Scales'!$C$6:$C$30,0),2)*(1+('Pay Scales'!$V$6*('Pay Scales'!$U$4=4)))*(1+('Pay Scales'!$D$2))</f>
        <v>#N/A</v>
      </c>
      <c r="I181" s="1645" t="e">
        <f>H181*D181</f>
        <v>#N/A</v>
      </c>
      <c r="J181" s="1646"/>
      <c r="K181" t="s">
        <v>601</v>
      </c>
    </row>
    <row r="182" spans="1:11" ht="17.25" thickTop="1" thickBot="1">
      <c r="B182" s="1632"/>
      <c r="C182" s="1647" t="s">
        <v>88</v>
      </c>
      <c r="D182" s="1648">
        <f>SUM(D181)</f>
        <v>0</v>
      </c>
      <c r="E182" s="1649"/>
      <c r="F182" s="1649"/>
      <c r="G182" s="1650"/>
      <c r="H182" s="1651"/>
      <c r="I182" s="1651"/>
      <c r="J182" s="1652" t="e">
        <f>SUM(I181)</f>
        <v>#N/A</v>
      </c>
      <c r="K182"/>
    </row>
    <row r="183" spans="1:11" ht="16.5" thickTop="1">
      <c r="B183" s="1707" t="s">
        <v>500</v>
      </c>
      <c r="C183" s="1693"/>
      <c r="D183" s="1655"/>
      <c r="E183" s="1656"/>
      <c r="F183" s="1656"/>
      <c r="G183" s="1657"/>
      <c r="H183" s="1656"/>
      <c r="I183" s="1656"/>
      <c r="J183" s="1658"/>
      <c r="K183"/>
    </row>
    <row r="184" spans="1:11" ht="16.5" thickBot="1">
      <c r="A184" s="952">
        <v>178</v>
      </c>
      <c r="B184" s="1707"/>
      <c r="C184" s="1633" t="s">
        <v>991</v>
      </c>
      <c r="D184" s="1643">
        <f>'INPAT&amp;ANCILLARY-FTE'!M120</f>
        <v>0</v>
      </c>
      <c r="G184" s="1644" t="s">
        <v>517</v>
      </c>
      <c r="H184" s="1645" t="e">
        <f>INDEX('Pay Scales'!$C$6:$D$30,MATCH(G184,'Pay Scales'!$C$6:$C$30,0),2)*(1+('Pay Scales'!$V$6*('Pay Scales'!$U$4=4)))*(1+('Pay Scales'!$D$2))</f>
        <v>#N/A</v>
      </c>
      <c r="I184" s="1645" t="e">
        <f>H184*D185</f>
        <v>#N/A</v>
      </c>
      <c r="J184" s="1646"/>
      <c r="K184" t="s">
        <v>601</v>
      </c>
    </row>
    <row r="185" spans="1:11" ht="17.25" thickTop="1" thickBot="1">
      <c r="B185" s="1632"/>
      <c r="C185" s="1647" t="s">
        <v>88</v>
      </c>
      <c r="D185" s="1648">
        <f>SUM(D184)</f>
        <v>0</v>
      </c>
      <c r="E185" s="1649"/>
      <c r="F185" s="1649"/>
      <c r="G185" s="1650"/>
      <c r="H185" s="1651"/>
      <c r="I185" s="1651"/>
      <c r="J185" s="1652" t="e">
        <f>SUM(I184)</f>
        <v>#N/A</v>
      </c>
    </row>
    <row r="186" spans="1:11" ht="16.5" thickTop="1">
      <c r="B186" s="1663" t="s">
        <v>714</v>
      </c>
      <c r="C186" s="1664"/>
      <c r="D186" s="1655"/>
      <c r="E186" s="1656"/>
      <c r="F186" s="1656"/>
      <c r="G186" s="1657"/>
      <c r="H186" s="1656"/>
      <c r="I186" s="1656"/>
      <c r="J186" s="1658"/>
      <c r="K186"/>
    </row>
    <row r="187" spans="1:11">
      <c r="B187" s="1653"/>
      <c r="C187" s="1696" t="str">
        <f>'INPAT&amp;ANCILLARY-FTE'!D122</f>
        <v>ANCIL_Adjustment 1</v>
      </c>
      <c r="D187" s="1639">
        <f>'INPAT&amp;ANCILLARY-FTE'!M122</f>
        <v>0</v>
      </c>
      <c r="G187" s="1640" t="s">
        <v>430</v>
      </c>
      <c r="H187" s="1641" t="e">
        <f>INDEX('Pay Scales'!$C$5:$D$30,MATCH(G187,'Pay Scales'!$C$5:$C$30,0),2)*(1+('Pay Scales'!$V$6*('Pay Scales'!$U$4=4)))*(1+('Pay Scales'!$D$2))</f>
        <v>#N/A</v>
      </c>
      <c r="I187" s="1641" t="e">
        <f>H187*D187</f>
        <v>#N/A</v>
      </c>
      <c r="J187" s="1642"/>
      <c r="K187" t="s">
        <v>601</v>
      </c>
    </row>
    <row r="188" spans="1:11">
      <c r="B188" s="1632"/>
      <c r="C188" s="1696" t="str">
        <f>'INPAT&amp;ANCILLARY-FTE'!D123</f>
        <v>ANCIL_Adjustment 2</v>
      </c>
      <c r="D188" s="1639">
        <f>'INPAT&amp;ANCILLARY-FTE'!M123</f>
        <v>0</v>
      </c>
      <c r="G188" s="1640" t="s">
        <v>430</v>
      </c>
      <c r="H188" s="1641" t="e">
        <f>INDEX('Pay Scales'!$C$5:$D$30,MATCH(G188,'Pay Scales'!$C$5:$C$30,0),2)*(1+('Pay Scales'!$V$6*('Pay Scales'!$U$4=4)))*(1+('Pay Scales'!$D$2))</f>
        <v>#N/A</v>
      </c>
      <c r="I188" s="1641" t="e">
        <f>H188*D188</f>
        <v>#N/A</v>
      </c>
      <c r="J188" s="1642"/>
      <c r="K188" t="s">
        <v>601</v>
      </c>
    </row>
    <row r="189" spans="1:11">
      <c r="B189" s="1632"/>
      <c r="C189" s="1696" t="str">
        <f>'INPAT&amp;ANCILLARY-FTE'!D124</f>
        <v>ANCIL_Adjustment 3</v>
      </c>
      <c r="D189" s="1639">
        <f>'INPAT&amp;ANCILLARY-FTE'!M124</f>
        <v>0</v>
      </c>
      <c r="G189" s="1640" t="s">
        <v>430</v>
      </c>
      <c r="H189" s="1641" t="e">
        <f>INDEX('Pay Scales'!$C$5:$D$30,MATCH(G189,'Pay Scales'!$C$5:$C$30,0),2)*(1+('Pay Scales'!$V$6*('Pay Scales'!$U$4=4)))*(1+('Pay Scales'!$D$2))</f>
        <v>#N/A</v>
      </c>
      <c r="I189" s="1641" t="e">
        <f>H189*D189</f>
        <v>#N/A</v>
      </c>
      <c r="J189" s="1642"/>
      <c r="K189" t="s">
        <v>601</v>
      </c>
    </row>
    <row r="190" spans="1:11" ht="17.25" customHeight="1" thickBot="1">
      <c r="B190" s="1632"/>
      <c r="C190" s="1696" t="str">
        <f>'INPAT&amp;ANCILLARY-FTE'!D125</f>
        <v>ANCIL_Adjustment 4</v>
      </c>
      <c r="D190" s="1639">
        <f>'INPAT&amp;ANCILLARY-FTE'!M125</f>
        <v>0</v>
      </c>
      <c r="G190" s="1640" t="s">
        <v>430</v>
      </c>
      <c r="H190" s="1641" t="e">
        <f>INDEX('Pay Scales'!$C$5:$D$30,MATCH(G190,'Pay Scales'!$C$5:$C$30,0),2)*(1+('Pay Scales'!$V$6*('Pay Scales'!$U$4=4)))*(1+('Pay Scales'!$D$2))</f>
        <v>#N/A</v>
      </c>
      <c r="I190" s="1641" t="e">
        <f>H190*D190</f>
        <v>#N/A</v>
      </c>
      <c r="J190" s="1642"/>
      <c r="K190" t="s">
        <v>601</v>
      </c>
    </row>
    <row r="191" spans="1:11" ht="17.25" thickTop="1" thickBot="1">
      <c r="B191" s="1632"/>
      <c r="C191" s="1647" t="s">
        <v>88</v>
      </c>
      <c r="D191" s="1692">
        <f>SUM(D187:D190)</f>
        <v>0</v>
      </c>
      <c r="E191" s="1649"/>
      <c r="F191" s="1649"/>
      <c r="G191" s="1708"/>
      <c r="H191" s="1709"/>
      <c r="I191" s="1709"/>
      <c r="J191" s="1710" t="e">
        <f>SUM(I187:I190)</f>
        <v>#N/A</v>
      </c>
      <c r="K191"/>
    </row>
    <row r="192" spans="1:11" ht="17.25" customHeight="1" thickBot="1">
      <c r="B192" s="1697" t="s">
        <v>992</v>
      </c>
      <c r="C192" s="1698"/>
      <c r="D192" s="1711">
        <f>D191+D185+D182+D179+D169+D165+D156</f>
        <v>0</v>
      </c>
      <c r="E192" s="1712"/>
      <c r="F192" s="1712"/>
      <c r="G192" s="1713"/>
      <c r="H192" s="1714"/>
      <c r="I192" s="1714"/>
      <c r="J192" s="1715"/>
      <c r="K192"/>
    </row>
    <row r="193" spans="1:11" ht="17.25" customHeight="1" thickTop="1">
      <c r="B193" s="1962" t="s">
        <v>993</v>
      </c>
      <c r="C193" s="1963"/>
      <c r="D193" s="1620"/>
      <c r="E193" s="1621"/>
      <c r="F193" s="1621"/>
      <c r="G193" s="1622"/>
      <c r="H193" s="1621"/>
      <c r="I193" s="1621"/>
      <c r="J193" s="1623"/>
      <c r="K193"/>
    </row>
    <row r="194" spans="1:11" ht="17.25" customHeight="1" thickBot="1">
      <c r="B194" s="1707" t="s">
        <v>839</v>
      </c>
      <c r="C194" s="1613"/>
      <c r="D194" s="1627"/>
      <c r="E194" s="1628"/>
      <c r="F194" s="1628"/>
      <c r="G194" s="1629"/>
      <c r="H194" s="1628"/>
      <c r="I194" s="1628"/>
      <c r="J194" s="1630"/>
      <c r="K194"/>
    </row>
    <row r="195" spans="1:11" ht="17.25" customHeight="1">
      <c r="A195" s="952">
        <v>286</v>
      </c>
      <c r="B195" s="1707"/>
      <c r="C195" s="1716" t="str">
        <f>'COMM-FTE'!D12</f>
        <v>PHN/RD</v>
      </c>
      <c r="D195" s="1634">
        <f>'COMM-FTE'!M12+'COMM-FTE'!N12</f>
        <v>0</v>
      </c>
      <c r="G195" s="1640" t="s">
        <v>508</v>
      </c>
      <c r="H195" s="1641" t="e">
        <f>INDEX('Pay Scales'!$M$6:$N$11,MATCH(G195,'Pay Scales'!$M$6:$M$11,0),2)*(1+('Pay Scales'!$V$6*('Pay Scales'!$U$4=4)))*(1+('Pay Scales'!$D$2))</f>
        <v>#N/A</v>
      </c>
      <c r="I195" s="1641" t="e">
        <f>H195*D195</f>
        <v>#N/A</v>
      </c>
      <c r="J195" s="1642"/>
      <c r="K195" t="s">
        <v>601</v>
      </c>
    </row>
    <row r="196" spans="1:11" ht="17.25" customHeight="1">
      <c r="A196" s="952">
        <v>285</v>
      </c>
      <c r="B196" s="1707"/>
      <c r="C196" s="1716" t="str">
        <f>'COMM-FTE'!D13</f>
        <v>Nutritionist Technician</v>
      </c>
      <c r="D196" s="1634">
        <f>'COMM-FTE'!M13</f>
        <v>0</v>
      </c>
      <c r="G196" s="1640" t="s">
        <v>520</v>
      </c>
      <c r="H196" s="1641" t="e">
        <f>INDEX('Pay Scales'!$C$6:$D$30,MATCH(G196,'Pay Scales'!$C$6:$C$30,0),2)*(1+('Pay Scales'!$V$6*('Pay Scales'!$U$4=4)))*(1+('Pay Scales'!$D$2))</f>
        <v>#N/A</v>
      </c>
      <c r="I196" s="1641" t="e">
        <f>H196*D196</f>
        <v>#N/A</v>
      </c>
      <c r="J196" s="1642"/>
      <c r="K196" t="s">
        <v>601</v>
      </c>
    </row>
    <row r="197" spans="1:11" ht="17.25" customHeight="1">
      <c r="A197" s="952">
        <v>287</v>
      </c>
      <c r="B197" s="1707"/>
      <c r="C197" s="1716" t="str">
        <f>'COMM-FTE'!D14</f>
        <v>Supervisor</v>
      </c>
      <c r="D197" s="1634">
        <f>'COMM-FTE'!M14</f>
        <v>0</v>
      </c>
      <c r="G197" s="1640" t="s">
        <v>520</v>
      </c>
      <c r="H197" s="1641" t="e">
        <f>INDEX('Pay Scales'!$C$6:$D$30,MATCH(G197,'Pay Scales'!$C$6:$C$30,0),2)*(1+('Pay Scales'!$V$6*('Pay Scales'!$U$4=4)))*(1+('Pay Scales'!$D$2))</f>
        <v>#N/A</v>
      </c>
      <c r="I197" s="1641" t="e">
        <f>H197*D197</f>
        <v>#N/A</v>
      </c>
      <c r="J197" s="1642"/>
      <c r="K197" t="s">
        <v>601</v>
      </c>
    </row>
    <row r="198" spans="1:11" ht="17.25" customHeight="1" thickBot="1">
      <c r="A198" s="952">
        <v>284</v>
      </c>
      <c r="B198" s="1707"/>
      <c r="C198" s="1716" t="str">
        <f>'COMM-FTE'!D15</f>
        <v>Clerk/Secretary</v>
      </c>
      <c r="D198" s="1705">
        <f>'COMM-FTE'!M15</f>
        <v>0</v>
      </c>
      <c r="G198" s="1640" t="s">
        <v>520</v>
      </c>
      <c r="H198" s="1641" t="e">
        <f>INDEX('Pay Scales'!$C$6:$D$30,MATCH(G198,'Pay Scales'!$C$6:$C$30,0),2)*(1+('Pay Scales'!$V$6*('Pay Scales'!$U$4=4)))*(1+('Pay Scales'!$D$2))</f>
        <v>#N/A</v>
      </c>
      <c r="I198" s="1641" t="e">
        <f>H198*D198</f>
        <v>#N/A</v>
      </c>
      <c r="J198" s="1642"/>
      <c r="K198" t="s">
        <v>601</v>
      </c>
    </row>
    <row r="199" spans="1:11" ht="17.25" customHeight="1" thickTop="1" thickBot="1">
      <c r="B199" s="1707"/>
      <c r="C199" s="1717" t="s">
        <v>88</v>
      </c>
      <c r="D199" s="1718">
        <f>SUM(D195:D198)</f>
        <v>0</v>
      </c>
      <c r="E199" s="1649"/>
      <c r="F199" s="1649"/>
      <c r="G199" s="1678"/>
      <c r="H199" s="1679"/>
      <c r="I199" s="1679"/>
      <c r="J199" s="1680" t="e">
        <f>SUM(I195:I198)</f>
        <v>#N/A</v>
      </c>
      <c r="K199"/>
    </row>
    <row r="200" spans="1:11" ht="17.25" customHeight="1" thickTop="1">
      <c r="B200" s="1707" t="s">
        <v>840</v>
      </c>
      <c r="C200" s="1719"/>
      <c r="D200" s="1655"/>
      <c r="E200" s="1656"/>
      <c r="F200" s="1656"/>
      <c r="G200" s="1657"/>
      <c r="H200" s="1656"/>
      <c r="I200" s="1656"/>
      <c r="J200" s="1658"/>
      <c r="K200"/>
    </row>
    <row r="201" spans="1:11" ht="17.25" customHeight="1">
      <c r="A201" s="952">
        <v>283</v>
      </c>
      <c r="B201" s="1707"/>
      <c r="C201" s="1720" t="str">
        <f>'COMM-FTE'!D18</f>
        <v>Public Health Nurse Manager</v>
      </c>
      <c r="D201" s="1634">
        <f>'COMM-FTE'!M18</f>
        <v>0</v>
      </c>
      <c r="G201" s="1640" t="s">
        <v>509</v>
      </c>
      <c r="H201" s="1641" t="e">
        <f>INDEX('Pay Scales'!$M$6:$N$11,MATCH(G201,'Pay Scales'!$M$6:$M$11,0),2)*(1+('Pay Scales'!$V$6*('Pay Scales'!$U$4=4)))*(1+('Pay Scales'!$D$2))</f>
        <v>#N/A</v>
      </c>
      <c r="I201" s="1641" t="e">
        <f>H201*D201</f>
        <v>#N/A</v>
      </c>
      <c r="J201" s="1642"/>
      <c r="K201" t="s">
        <v>602</v>
      </c>
    </row>
    <row r="202" spans="1:11" ht="17.25" customHeight="1">
      <c r="A202" s="952">
        <v>282</v>
      </c>
      <c r="B202" s="1707"/>
      <c r="C202" s="1716" t="str">
        <f>'COMM-FTE'!D19</f>
        <v>Public Health Nurse</v>
      </c>
      <c r="D202" s="1634">
        <f>'COMM-FTE'!M19+'COMM-FTE'!M21+'COMM-FTE'!M22+'COMM-FTE'!M23</f>
        <v>0</v>
      </c>
      <c r="G202" s="1640" t="s">
        <v>508</v>
      </c>
      <c r="H202" s="1641" t="e">
        <f>INDEX('Pay Scales'!$M$6:$N$11,MATCH(G202,'Pay Scales'!$M$6:$M$11,0),2)*(1+('Pay Scales'!$V$6*('Pay Scales'!$U$4=4)))*(1+('Pay Scales'!$D$2))</f>
        <v>#N/A</v>
      </c>
      <c r="I202" s="1641" t="e">
        <f>H202*D202</f>
        <v>#N/A</v>
      </c>
      <c r="J202" s="1642"/>
      <c r="K202" t="s">
        <v>602</v>
      </c>
    </row>
    <row r="203" spans="1:11" ht="17.25" customHeight="1">
      <c r="A203" s="952">
        <v>281</v>
      </c>
      <c r="B203" s="1707"/>
      <c r="C203" s="1716" t="str">
        <f>'COMM-FTE'!D20</f>
        <v>Public Health Nurse - School</v>
      </c>
      <c r="D203" s="1634">
        <f>'COMM-FTE'!M20</f>
        <v>0</v>
      </c>
      <c r="G203" s="1640" t="s">
        <v>507</v>
      </c>
      <c r="H203" s="1641" t="e">
        <f>INDEX('Pay Scales'!$M$6:$N$11,MATCH(G203,'Pay Scales'!$M$6:$M$11,0),2)*(1+('Pay Scales'!$V$6*('Pay Scales'!$U$4=4)))*(1+('Pay Scales'!$D$2))</f>
        <v>#N/A</v>
      </c>
      <c r="I203" s="1641" t="e">
        <f>H203*D203</f>
        <v>#N/A</v>
      </c>
      <c r="J203" s="1642"/>
      <c r="K203" t="s">
        <v>602</v>
      </c>
    </row>
    <row r="204" spans="1:11" ht="17.25" customHeight="1" thickBot="1">
      <c r="A204" s="952">
        <v>429</v>
      </c>
      <c r="B204" s="1707"/>
      <c r="C204" s="1720" t="str">
        <f>'COMM-FTE'!D24</f>
        <v>Clerical Support</v>
      </c>
      <c r="D204" s="1643">
        <f>'COMM-FTE'!M24</f>
        <v>0</v>
      </c>
      <c r="G204" s="1644" t="s">
        <v>517</v>
      </c>
      <c r="H204" s="1645" t="e">
        <f>INDEX('Pay Scales'!$C$6:$D$30,MATCH(G204,'Pay Scales'!$C$6:$C$30,0),2)*(1+('Pay Scales'!$V$6*('Pay Scales'!$U$4=4)))*(1+('Pay Scales'!$D$2))</f>
        <v>#N/A</v>
      </c>
      <c r="I204" s="1645" t="e">
        <f>H204*D204</f>
        <v>#N/A</v>
      </c>
      <c r="J204" s="1646"/>
      <c r="K204" t="s">
        <v>602</v>
      </c>
    </row>
    <row r="205" spans="1:11" ht="17.25" thickTop="1" thickBot="1">
      <c r="B205" s="1707"/>
      <c r="C205" s="1717" t="s">
        <v>88</v>
      </c>
      <c r="D205" s="1721">
        <f>SUM(D201:D204)</f>
        <v>0</v>
      </c>
      <c r="E205" s="1649"/>
      <c r="F205" s="1649"/>
      <c r="G205" s="1650"/>
      <c r="H205" s="1651"/>
      <c r="I205" s="1651"/>
      <c r="J205" s="1652" t="e">
        <f>SUM(I201:I204)</f>
        <v>#N/A</v>
      </c>
      <c r="K205"/>
    </row>
    <row r="206" spans="1:11" ht="16.5" thickTop="1">
      <c r="B206" s="1707" t="s">
        <v>841</v>
      </c>
      <c r="C206" s="1719"/>
      <c r="D206" s="1655"/>
      <c r="E206" s="1656"/>
      <c r="F206" s="1722"/>
      <c r="G206" s="1655"/>
      <c r="H206" s="1656"/>
      <c r="I206" s="1656"/>
      <c r="J206" s="1658"/>
      <c r="K206"/>
    </row>
    <row r="207" spans="1:11">
      <c r="A207" s="952">
        <v>259</v>
      </c>
      <c r="B207" s="1632"/>
      <c r="C207" s="1694" t="str">
        <f>'COMM-FTE'!D27</f>
        <v>Community/Public Health Educator Staff</v>
      </c>
      <c r="D207" s="1639">
        <f>SUM('COMM-FTE'!M27:M30)+'COMM-FTE'!N27</f>
        <v>0</v>
      </c>
      <c r="G207" s="1640" t="s">
        <v>507</v>
      </c>
      <c r="H207" s="1641" t="e">
        <f>INDEX('Pay Scales'!$M$6:$N$11,MATCH(G207,'Pay Scales'!$M$6:$M$11,0),2)*(1+('Pay Scales'!$V$6*('Pay Scales'!$U$4=4)))*(1+('Pay Scales'!$D$2))</f>
        <v>#N/A</v>
      </c>
      <c r="I207" s="1641" t="e">
        <f>H207*D207</f>
        <v>#N/A</v>
      </c>
      <c r="J207" s="1642"/>
      <c r="K207" t="s">
        <v>602</v>
      </c>
    </row>
    <row r="208" spans="1:11">
      <c r="A208" s="952" t="s">
        <v>842</v>
      </c>
      <c r="B208" s="1632"/>
      <c r="C208" s="1633" t="str">
        <f>'COMM-FTE'!D31</f>
        <v>Community Health Supervisor</v>
      </c>
      <c r="D208" s="1682">
        <f>'COMM-FTE'!M31</f>
        <v>0</v>
      </c>
      <c r="G208" s="1640" t="s">
        <v>509</v>
      </c>
      <c r="H208" s="1641" t="e">
        <f>INDEX('Pay Scales'!$M$6:$N$11,MATCH(G208,'Pay Scales'!$M$6:$M$11,0),2)*(1+('Pay Scales'!$V$6*('Pay Scales'!$U$4=4)))*(1+('Pay Scales'!$D$2))</f>
        <v>#N/A</v>
      </c>
      <c r="I208" s="1641" t="e">
        <f>H208*D208</f>
        <v>#N/A</v>
      </c>
      <c r="J208" s="1642"/>
      <c r="K208" t="s">
        <v>602</v>
      </c>
    </row>
    <row r="209" spans="1:11" ht="19.149999999999999" customHeight="1" thickBot="1">
      <c r="A209" s="952" t="s">
        <v>843</v>
      </c>
      <c r="B209" s="1632"/>
      <c r="C209" s="1633" t="str">
        <f>'COMM-FTE'!D32</f>
        <v>Community Health Clerk/Typist - Secretary</v>
      </c>
      <c r="D209" s="1643">
        <f>'COMM-FTE'!M32</f>
        <v>0</v>
      </c>
      <c r="G209" s="1644" t="s">
        <v>520</v>
      </c>
      <c r="H209" s="1645" t="e">
        <f>INDEX('Pay Scales'!$C$6:$D$30,MATCH(G209,'Pay Scales'!$C$6:$C$30,0),2)*(1+('Pay Scales'!$V$6*('Pay Scales'!$U$4=4)))*(1+('Pay Scales'!$D$2))</f>
        <v>#N/A</v>
      </c>
      <c r="I209" s="1645" t="e">
        <f>H209*D209</f>
        <v>#N/A</v>
      </c>
      <c r="J209" s="1646"/>
      <c r="K209" t="s">
        <v>602</v>
      </c>
    </row>
    <row r="210" spans="1:11" ht="17.25" customHeight="1" thickTop="1" thickBot="1">
      <c r="B210" s="1632"/>
      <c r="C210" s="1717" t="s">
        <v>88</v>
      </c>
      <c r="D210" s="1721">
        <f>SUM(D207:D209)</f>
        <v>0</v>
      </c>
      <c r="E210" s="1649"/>
      <c r="F210" s="1649"/>
      <c r="G210" s="1650"/>
      <c r="H210" s="1651"/>
      <c r="I210" s="1651"/>
      <c r="J210" s="1652" t="e">
        <f>SUM(I207:I209)</f>
        <v>#N/A</v>
      </c>
      <c r="K210"/>
    </row>
    <row r="211" spans="1:11" ht="17.25" customHeight="1" thickTop="1">
      <c r="B211" s="1707" t="str">
        <f>'COMM-FTE'!C34</f>
        <v>COMMUNITY HEALTH REPRESENTATIVE</v>
      </c>
      <c r="C211" s="1613"/>
      <c r="D211" s="1655"/>
      <c r="E211" s="1656"/>
      <c r="F211" s="1722"/>
      <c r="G211" s="1655"/>
      <c r="H211" s="1656"/>
      <c r="I211" s="1656"/>
      <c r="J211" s="1658"/>
      <c r="K211"/>
    </row>
    <row r="212" spans="1:11" ht="17.25" customHeight="1">
      <c r="A212" s="952" t="s">
        <v>844</v>
      </c>
      <c r="B212" s="1707"/>
      <c r="C212" s="1633" t="str">
        <f>'COMM-FTE'!D35</f>
        <v>Community Health Representative</v>
      </c>
      <c r="D212" s="1639">
        <f>'COMM-FTE'!M35</f>
        <v>0</v>
      </c>
      <c r="G212" s="1640" t="s">
        <v>507</v>
      </c>
      <c r="H212" s="1641" t="e">
        <f>INDEX('Pay Scales'!$C$6:$D$30,MATCH(G212,'Pay Scales'!$C$6:$C$30,0),2)*(1+('Pay Scales'!$V$6*('Pay Scales'!$U$4=4)))*(1+('Pay Scales'!$D$2))</f>
        <v>#N/A</v>
      </c>
      <c r="I212" s="1641" t="e">
        <f>H212*D212</f>
        <v>#N/A</v>
      </c>
      <c r="J212" s="1642"/>
      <c r="K212" t="s">
        <v>601</v>
      </c>
    </row>
    <row r="213" spans="1:11" ht="17.25" customHeight="1" thickBot="1">
      <c r="A213" s="952" t="s">
        <v>845</v>
      </c>
      <c r="B213" s="1707"/>
      <c r="C213" s="1633" t="str">
        <f>'COMM-FTE'!D36</f>
        <v>CHR Administrative</v>
      </c>
      <c r="D213" s="1639">
        <f>'COMM-FTE'!M36</f>
        <v>0</v>
      </c>
      <c r="G213" s="1640" t="s">
        <v>518</v>
      </c>
      <c r="H213" s="1641" t="e">
        <f>INDEX('Pay Scales'!$C$6:$D$30,MATCH(G213,'Pay Scales'!$C$6:$C$30,0),2)*(1+('Pay Scales'!$V$6*('Pay Scales'!$U$4=4)))*(1+('Pay Scales'!$D$2))</f>
        <v>#N/A</v>
      </c>
      <c r="I213" s="1641" t="e">
        <f>H213*D213</f>
        <v>#N/A</v>
      </c>
      <c r="J213" s="1642"/>
      <c r="K213" t="s">
        <v>601</v>
      </c>
    </row>
    <row r="214" spans="1:11" ht="17.25" customHeight="1" thickTop="1" thickBot="1">
      <c r="B214" s="1707"/>
      <c r="C214" s="1717" t="s">
        <v>88</v>
      </c>
      <c r="D214" s="1706">
        <f>D212+D213</f>
        <v>0</v>
      </c>
      <c r="E214" s="1649"/>
      <c r="F214" s="1649"/>
      <c r="G214" s="1678"/>
      <c r="H214" s="1679"/>
      <c r="I214" s="1679"/>
      <c r="J214" s="1680" t="e">
        <f>SUM(I212:I213)</f>
        <v>#N/A</v>
      </c>
      <c r="K214"/>
    </row>
    <row r="215" spans="1:11" ht="17.25" customHeight="1" thickTop="1">
      <c r="B215" s="1707" t="s">
        <v>846</v>
      </c>
      <c r="C215" s="1719"/>
      <c r="D215" s="1655"/>
      <c r="E215" s="1656"/>
      <c r="F215" s="1722"/>
      <c r="G215" s="1655"/>
      <c r="H215" s="1656"/>
      <c r="I215" s="1656"/>
      <c r="J215" s="1658"/>
      <c r="K215"/>
    </row>
    <row r="216" spans="1:11" ht="17.25" customHeight="1">
      <c r="A216" s="952" t="s">
        <v>847</v>
      </c>
      <c r="B216" s="1707"/>
      <c r="C216" s="1633" t="str">
        <f>'COMM-FTE'!D57</f>
        <v>Engineer</v>
      </c>
      <c r="D216" s="1639">
        <f>'COMM-FTE'!M57</f>
        <v>0</v>
      </c>
      <c r="G216" s="1640" t="s">
        <v>509</v>
      </c>
      <c r="H216" s="1641" t="e">
        <f>INDEX('Pay Scales'!$C$6:$D$30,MATCH(G216,'Pay Scales'!$C$6:$C$30,0),2)*(1+('Pay Scales'!$V$6*('Pay Scales'!$U$4=4)))*(1+('Pay Scales'!$D$2))</f>
        <v>#N/A</v>
      </c>
      <c r="I216" s="1641" t="e">
        <f t="shared" ref="I216:I222" si="9">H216*D216</f>
        <v>#N/A</v>
      </c>
      <c r="J216" s="1642"/>
      <c r="K216" t="s">
        <v>601</v>
      </c>
    </row>
    <row r="217" spans="1:11" ht="17.25" customHeight="1">
      <c r="A217" s="952" t="s">
        <v>848</v>
      </c>
      <c r="B217" s="1707"/>
      <c r="C217" s="1633" t="str">
        <f>'COMM-FTE'!D58</f>
        <v>Engineering Technician</v>
      </c>
      <c r="D217" s="1639">
        <f>'COMM-FTE'!M58</f>
        <v>0</v>
      </c>
      <c r="G217" s="1640" t="s">
        <v>521</v>
      </c>
      <c r="H217" s="1641" t="e">
        <f>INDEX('Pay Scales'!$C$6:$D$30,MATCH(G217,'Pay Scales'!$C$6:$C$30,0),2)*(1+('Pay Scales'!$V$6*('Pay Scales'!$U$4=4)))*(1+('Pay Scales'!$D$2))</f>
        <v>#N/A</v>
      </c>
      <c r="I217" s="1641" t="e">
        <f t="shared" si="9"/>
        <v>#N/A</v>
      </c>
      <c r="J217" s="1642"/>
      <c r="K217" t="s">
        <v>601</v>
      </c>
    </row>
    <row r="218" spans="1:11" ht="17.25" customHeight="1">
      <c r="A218" s="952" t="s">
        <v>849</v>
      </c>
      <c r="B218" s="1707"/>
      <c r="C218" s="1633" t="str">
        <f>'COMM-FTE'!D59</f>
        <v>Sanitation Engineer Supervisor</v>
      </c>
      <c r="D218" s="1639">
        <f>'COMM-FTE'!M59</f>
        <v>0</v>
      </c>
      <c r="G218" s="1640" t="s">
        <v>511</v>
      </c>
      <c r="H218" s="1641" t="e">
        <f>INDEX('Pay Scales'!$C$6:$D$30,MATCH(G218,'Pay Scales'!$C$6:$C$30,0),2)*(1+('Pay Scales'!$V$6*('Pay Scales'!$U$4=4)))*(1+('Pay Scales'!$D$2))</f>
        <v>#N/A</v>
      </c>
      <c r="I218" s="1641" t="e">
        <f t="shared" si="9"/>
        <v>#N/A</v>
      </c>
      <c r="J218" s="1642"/>
      <c r="K218" t="s">
        <v>601</v>
      </c>
    </row>
    <row r="219" spans="1:11" ht="17.25" customHeight="1">
      <c r="A219" s="952" t="s">
        <v>850</v>
      </c>
      <c r="B219" s="1707"/>
      <c r="C219" s="1633" t="str">
        <f>'COMM-FTE'!D60</f>
        <v>Sanitation Clerk/Typist</v>
      </c>
      <c r="D219" s="1639">
        <f>'COMM-FTE'!M60</f>
        <v>0</v>
      </c>
      <c r="G219" s="1640" t="s">
        <v>520</v>
      </c>
      <c r="H219" s="1641" t="e">
        <f>INDEX('Pay Scales'!$C$6:$D$30,MATCH(G219,'Pay Scales'!$C$6:$C$30,0),2)*(1+('Pay Scales'!$V$6*('Pay Scales'!$U$4=4)))*(1+('Pay Scales'!$D$2))</f>
        <v>#N/A</v>
      </c>
      <c r="I219" s="1641" t="e">
        <f t="shared" si="9"/>
        <v>#N/A</v>
      </c>
      <c r="J219" s="1642"/>
      <c r="K219" t="s">
        <v>601</v>
      </c>
    </row>
    <row r="220" spans="1:11" ht="17.25" customHeight="1">
      <c r="A220" s="952" t="s">
        <v>851</v>
      </c>
      <c r="B220" s="1707"/>
      <c r="C220" s="1633" t="str">
        <f>'COMM-FTE'!D61</f>
        <v>EH Specialist</v>
      </c>
      <c r="D220" s="1639">
        <f>'COMM-FTE'!M61</f>
        <v>0</v>
      </c>
      <c r="G220" s="1640" t="s">
        <v>509</v>
      </c>
      <c r="H220" s="1641" t="e">
        <f>INDEX('Pay Scales'!$C$6:$D$30,MATCH(G220,'Pay Scales'!$C$6:$C$30,0),2)*(1+('Pay Scales'!$V$6*('Pay Scales'!$U$4=4)))*(1+('Pay Scales'!$D$2))</f>
        <v>#N/A</v>
      </c>
      <c r="I220" s="1641" t="e">
        <f t="shared" si="9"/>
        <v>#N/A</v>
      </c>
      <c r="J220" s="1642"/>
      <c r="K220" t="s">
        <v>601</v>
      </c>
    </row>
    <row r="221" spans="1:11" ht="17.25" customHeight="1">
      <c r="A221" s="952" t="s">
        <v>849</v>
      </c>
      <c r="B221" s="1707"/>
      <c r="C221" s="1633" t="str">
        <f>'COMM-FTE'!D62</f>
        <v>EH Supervisor</v>
      </c>
      <c r="D221" s="1639">
        <f>'COMM-FTE'!M62</f>
        <v>0</v>
      </c>
      <c r="G221" s="1640" t="s">
        <v>511</v>
      </c>
      <c r="H221" s="1641" t="e">
        <f>INDEX('Pay Scales'!$C$6:$D$30,MATCH(G221,'Pay Scales'!$C$6:$C$30,0),2)*(1+('Pay Scales'!$V$6*('Pay Scales'!$U$4=4)))*(1+('Pay Scales'!$D$2))</f>
        <v>#N/A</v>
      </c>
      <c r="I221" s="1641" t="e">
        <f t="shared" si="9"/>
        <v>#N/A</v>
      </c>
      <c r="J221" s="1642"/>
      <c r="K221" t="s">
        <v>601</v>
      </c>
    </row>
    <row r="222" spans="1:11" ht="17.25" customHeight="1" thickBot="1">
      <c r="A222" s="952" t="s">
        <v>852</v>
      </c>
      <c r="B222" s="1707"/>
      <c r="C222" s="1633" t="str">
        <f>'COMM-FTE'!D63</f>
        <v>EH Clerk/Typist</v>
      </c>
      <c r="D222" s="1639">
        <f>'COMM-FTE'!M63</f>
        <v>0</v>
      </c>
      <c r="G222" s="1640" t="s">
        <v>520</v>
      </c>
      <c r="H222" s="1641" t="e">
        <f>INDEX('Pay Scales'!$C$6:$D$30,MATCH(G222,'Pay Scales'!$C$6:$C$30,0),2)*(1+('Pay Scales'!$V$6*('Pay Scales'!$U$4=4)))*(1+('Pay Scales'!$D$2))</f>
        <v>#N/A</v>
      </c>
      <c r="I222" s="1641" t="e">
        <f t="shared" si="9"/>
        <v>#N/A</v>
      </c>
      <c r="J222" s="1642"/>
      <c r="K222" t="s">
        <v>601</v>
      </c>
    </row>
    <row r="223" spans="1:11" ht="17.25" customHeight="1" thickTop="1" thickBot="1">
      <c r="B223" s="1707"/>
      <c r="C223" s="1717" t="s">
        <v>88</v>
      </c>
      <c r="D223" s="1706">
        <f>SUM(D216:D222)</f>
        <v>0</v>
      </c>
      <c r="E223" s="1649"/>
      <c r="F223" s="1649"/>
      <c r="G223" s="1708"/>
      <c r="H223" s="1709"/>
      <c r="I223" s="1709"/>
      <c r="J223" s="1710" t="e">
        <f>SUM(I216:I222)</f>
        <v>#N/A</v>
      </c>
      <c r="K223"/>
    </row>
    <row r="224" spans="1:11" ht="17.25" customHeight="1" thickTop="1">
      <c r="B224" s="1707" t="s">
        <v>853</v>
      </c>
      <c r="C224" s="1719"/>
      <c r="D224" s="1655"/>
      <c r="E224" s="1656"/>
      <c r="F224" s="1722"/>
      <c r="G224" s="1655"/>
      <c r="H224" s="1656"/>
      <c r="I224" s="1656"/>
      <c r="J224" s="1658"/>
      <c r="K224"/>
    </row>
    <row r="225" spans="1:11" ht="17.25" customHeight="1">
      <c r="A225" s="1723">
        <v>325</v>
      </c>
      <c r="B225" s="1707"/>
      <c r="C225" s="1720" t="str">
        <f>'COMM-FTE'!D66</f>
        <v>Wellness Director</v>
      </c>
      <c r="D225" s="1634">
        <f>'COMM-FTE'!M66</f>
        <v>0</v>
      </c>
      <c r="G225" s="1640" t="s">
        <v>509</v>
      </c>
      <c r="H225" s="1641" t="e">
        <f>INDEX('Pay Scales'!$C$6:$D$30,MATCH(G225,'Pay Scales'!$C$6:$C$30,0),2)*(1+('Pay Scales'!$V$6*('Pay Scales'!$U$4=4)))*(1+('Pay Scales'!$D$2))</f>
        <v>#N/A</v>
      </c>
      <c r="I225" s="1641" t="e">
        <f>H225*D225</f>
        <v>#N/A</v>
      </c>
      <c r="J225" s="1642"/>
      <c r="K225" t="s">
        <v>601</v>
      </c>
    </row>
    <row r="226" spans="1:11" ht="17.25" customHeight="1">
      <c r="A226" s="952" t="s">
        <v>854</v>
      </c>
      <c r="B226" s="1707"/>
      <c r="C226" s="1716" t="str">
        <f>'COMM-FTE'!D67</f>
        <v>Technician</v>
      </c>
      <c r="D226" s="1634">
        <f>'COMM-FTE'!M67</f>
        <v>0</v>
      </c>
      <c r="G226" s="1640" t="s">
        <v>521</v>
      </c>
      <c r="H226" s="1641" t="e">
        <f>INDEX('Pay Scales'!$C$6:$D$30,MATCH(G226,'Pay Scales'!$C$6:$C$30,0),2)*(1+('Pay Scales'!$V$6*('Pay Scales'!$U$4=4)))*(1+('Pay Scales'!$D$2))</f>
        <v>#N/A</v>
      </c>
      <c r="I226" s="1641" t="e">
        <f>H226*D226</f>
        <v>#N/A</v>
      </c>
      <c r="J226" s="1642"/>
      <c r="K226" t="s">
        <v>601</v>
      </c>
    </row>
    <row r="227" spans="1:11" ht="17.25" customHeight="1">
      <c r="A227" s="952" t="s">
        <v>855</v>
      </c>
      <c r="B227" s="1707"/>
      <c r="C227" s="1716" t="str">
        <f>'COMM-FTE'!D68</f>
        <v>Receptionist</v>
      </c>
      <c r="D227" s="1634">
        <f>'COMM-FTE'!M68</f>
        <v>0</v>
      </c>
      <c r="G227" s="1640" t="s">
        <v>517</v>
      </c>
      <c r="H227" s="1641" t="e">
        <f>INDEX('Pay Scales'!$C$6:$D$30,MATCH(G227,'Pay Scales'!$C$6:$C$30,0),2)*(1+('Pay Scales'!$V$6*('Pay Scales'!$U$4=4)))*(1+('Pay Scales'!$D$2))</f>
        <v>#N/A</v>
      </c>
      <c r="I227" s="1641" t="e">
        <f>H227*D227</f>
        <v>#N/A</v>
      </c>
      <c r="J227" s="1642"/>
      <c r="K227" t="s">
        <v>601</v>
      </c>
    </row>
    <row r="228" spans="1:11" ht="17.25" customHeight="1">
      <c r="A228" s="952" t="s">
        <v>856</v>
      </c>
      <c r="B228" s="1707"/>
      <c r="C228" s="1716" t="str">
        <f>'COMM-FTE'!D69</f>
        <v>Administrative Assistant</v>
      </c>
      <c r="D228" s="1634">
        <f>'COMM-FTE'!M69</f>
        <v>0</v>
      </c>
      <c r="G228" s="1640" t="s">
        <v>520</v>
      </c>
      <c r="H228" s="1641" t="e">
        <f>INDEX('Pay Scales'!$C$6:$D$30,MATCH(G228,'Pay Scales'!$C$6:$C$30,0),2)*(1+('Pay Scales'!$V$6*('Pay Scales'!$U$4=4)))*(1+('Pay Scales'!$D$2))</f>
        <v>#N/A</v>
      </c>
      <c r="I228" s="1641" t="e">
        <f>H228*D228</f>
        <v>#N/A</v>
      </c>
      <c r="J228" s="1642"/>
      <c r="K228" t="s">
        <v>601</v>
      </c>
    </row>
    <row r="229" spans="1:11" ht="17.25" customHeight="1" thickBot="1">
      <c r="A229" s="952" t="s">
        <v>857</v>
      </c>
      <c r="B229" s="1707"/>
      <c r="C229" s="1720" t="str">
        <f>'COMM-FTE'!D70</f>
        <v>Deputy Director</v>
      </c>
      <c r="D229" s="1643">
        <f>'COMM-FTE'!M70</f>
        <v>0</v>
      </c>
      <c r="G229" s="1644" t="s">
        <v>508</v>
      </c>
      <c r="H229" s="1645" t="e">
        <f>INDEX('Pay Scales'!$C$6:$D$30,MATCH(G229,'Pay Scales'!$C$6:$C$30,0),2)*(1+('Pay Scales'!$V$6*('Pay Scales'!$U$4=4)))*(1+('Pay Scales'!$D$2))</f>
        <v>#N/A</v>
      </c>
      <c r="I229" s="1645" t="e">
        <f>H229*D229</f>
        <v>#N/A</v>
      </c>
      <c r="J229" s="1646"/>
      <c r="K229" t="s">
        <v>601</v>
      </c>
    </row>
    <row r="230" spans="1:11" ht="17.25" customHeight="1" thickTop="1" thickBot="1">
      <c r="B230" s="1707"/>
      <c r="C230" s="1717" t="s">
        <v>88</v>
      </c>
      <c r="D230" s="1721">
        <f>SUM(D225:D229)</f>
        <v>0</v>
      </c>
      <c r="E230" s="1649"/>
      <c r="F230" s="1649"/>
      <c r="G230" s="1650"/>
      <c r="H230" s="1651"/>
      <c r="I230" s="1651"/>
      <c r="J230" s="1652" t="e">
        <f>SUM(I225:I229)</f>
        <v>#N/A</v>
      </c>
      <c r="K230"/>
    </row>
    <row r="231" spans="1:11" ht="17.25" customHeight="1" thickTop="1">
      <c r="B231" s="1960" t="s">
        <v>858</v>
      </c>
      <c r="C231" s="1961"/>
      <c r="D231" s="1620"/>
      <c r="E231" s="1621"/>
      <c r="F231" s="1621"/>
      <c r="G231" s="1622"/>
      <c r="H231" s="1621"/>
      <c r="I231" s="1621"/>
      <c r="J231" s="1623"/>
      <c r="K231"/>
    </row>
    <row r="232" spans="1:11" ht="17.25" customHeight="1" thickBot="1">
      <c r="B232" s="1707" t="s">
        <v>859</v>
      </c>
      <c r="C232" s="1613"/>
      <c r="D232" s="1627"/>
      <c r="E232" s="1628"/>
      <c r="F232" s="1628"/>
      <c r="G232" s="1629"/>
      <c r="H232" s="1628"/>
      <c r="I232" s="1628"/>
      <c r="J232" s="1630"/>
      <c r="K232"/>
    </row>
    <row r="233" spans="1:11" ht="17.25" customHeight="1">
      <c r="A233" s="952">
        <v>232</v>
      </c>
      <c r="B233" s="1707"/>
      <c r="C233" s="1720" t="str">
        <f>'COMM-FTE'!D40</f>
        <v>Behavioral Health Staff</v>
      </c>
      <c r="D233" s="1639">
        <f>'COMM-FTE'!M40+'COMM-FTE'!N40</f>
        <v>0</v>
      </c>
      <c r="G233" s="1640" t="s">
        <v>507</v>
      </c>
      <c r="H233" s="1641" t="e">
        <f>INDEX('Pay Scales'!$C$6:$D$30,MATCH(G233,'Pay Scales'!$C$6:$C$30,0),2)*(1+('Pay Scales'!$V$6*('Pay Scales'!$U$4=4)))*(1+('Pay Scales'!$D$2))</f>
        <v>#N/A</v>
      </c>
      <c r="I233" s="1641" t="e">
        <f>H233*D233</f>
        <v>#N/A</v>
      </c>
      <c r="J233" s="1642"/>
      <c r="K233" t="s">
        <v>36</v>
      </c>
    </row>
    <row r="234" spans="1:11" ht="17.25" customHeight="1" thickBot="1">
      <c r="A234" s="952">
        <v>234</v>
      </c>
      <c r="B234" s="1707"/>
      <c r="C234" s="1720" t="str">
        <f>'COMM-FTE'!D41</f>
        <v>Behavioral Health Supervisor</v>
      </c>
      <c r="D234" s="1639">
        <f>'COMM-FTE'!M41</f>
        <v>0</v>
      </c>
      <c r="G234" s="1640" t="s">
        <v>509</v>
      </c>
      <c r="H234" s="1641" t="e">
        <f>INDEX('Pay Scales'!$C$6:$D$30,MATCH(G234,'Pay Scales'!$C$6:$C$30,0),2)*(1+('Pay Scales'!$V$6*('Pay Scales'!$U$4=4)))*(1+('Pay Scales'!$D$2))</f>
        <v>#N/A</v>
      </c>
      <c r="I234" s="1641" t="e">
        <f>H234*D234</f>
        <v>#N/A</v>
      </c>
      <c r="J234" s="1642"/>
      <c r="K234" t="s">
        <v>36</v>
      </c>
    </row>
    <row r="235" spans="1:11" ht="17.25" customHeight="1" thickTop="1" thickBot="1">
      <c r="B235" s="1707"/>
      <c r="D235" s="1706">
        <f>SUM(D233:D234)</f>
        <v>0</v>
      </c>
      <c r="E235" s="1649"/>
      <c r="F235" s="1649"/>
      <c r="G235" s="1708"/>
      <c r="H235" s="1709"/>
      <c r="I235" s="1709"/>
      <c r="J235" s="1710" t="e">
        <f>SUM(I233:I234)</f>
        <v>#N/A</v>
      </c>
      <c r="K235"/>
    </row>
    <row r="236" spans="1:11" ht="17.25" customHeight="1" thickTop="1">
      <c r="B236" s="1707" t="s">
        <v>860</v>
      </c>
      <c r="C236" s="1613"/>
      <c r="D236" s="1655"/>
      <c r="E236" s="1656"/>
      <c r="F236" s="1722"/>
      <c r="G236" s="1655"/>
      <c r="H236" s="1656"/>
      <c r="I236" s="1656"/>
      <c r="J236" s="1658"/>
      <c r="K236"/>
    </row>
    <row r="237" spans="1:11" ht="17.25" customHeight="1">
      <c r="A237" s="952" t="s">
        <v>861</v>
      </c>
      <c r="B237" s="1707"/>
      <c r="C237" s="1633" t="str">
        <f>'COMM-FTE'!D44</f>
        <v>MSW Counselor Inpatient Only</v>
      </c>
      <c r="D237" s="1639">
        <f>'COMM-FTE'!M44</f>
        <v>0</v>
      </c>
      <c r="G237" s="1640" t="s">
        <v>509</v>
      </c>
      <c r="H237" s="1641" t="e">
        <f>INDEX('Pay Scales'!$C$6:$D$30,MATCH(G237,'Pay Scales'!$C$6:$C$30,0),2)*(1+('Pay Scales'!$V$6*('Pay Scales'!$U$4=4)))*(1+('Pay Scales'!$D$2))</f>
        <v>#N/A</v>
      </c>
      <c r="I237" s="1641" t="e">
        <f>H237*D237</f>
        <v>#N/A</v>
      </c>
      <c r="J237" s="1642"/>
      <c r="K237" t="s">
        <v>36</v>
      </c>
    </row>
    <row r="238" spans="1:11" ht="16.5" thickBot="1">
      <c r="A238" s="952" t="s">
        <v>862</v>
      </c>
      <c r="B238" s="1707"/>
      <c r="C238" s="1633" t="str">
        <f>'COMM-FTE'!D45</f>
        <v>Social Service Staff</v>
      </c>
      <c r="D238" s="1639">
        <f>'COMM-FTE'!M45</f>
        <v>0</v>
      </c>
      <c r="G238" s="1640" t="s">
        <v>520</v>
      </c>
      <c r="H238" s="1641" t="e">
        <f>INDEX('Pay Scales'!$C$6:$D$30,MATCH(G238,'Pay Scales'!$C$6:$C$30,0),2)*(1+('Pay Scales'!$V$6*('Pay Scales'!$U$4=4)))*(1+('Pay Scales'!$D$2))</f>
        <v>#N/A</v>
      </c>
      <c r="I238" s="1641" t="e">
        <f>H238*D238</f>
        <v>#N/A</v>
      </c>
      <c r="J238" s="1642"/>
      <c r="K238" t="s">
        <v>36</v>
      </c>
    </row>
    <row r="239" spans="1:11" ht="17.25" thickTop="1" thickBot="1">
      <c r="B239" s="1707"/>
      <c r="D239" s="1706">
        <f>SUM(D237:D238)</f>
        <v>0</v>
      </c>
      <c r="E239" s="1649"/>
      <c r="F239" s="1649"/>
      <c r="G239" s="1708"/>
      <c r="H239" s="1709"/>
      <c r="I239" s="1709"/>
      <c r="J239" s="1710" t="e">
        <f>SUM(I237:I238)</f>
        <v>#N/A</v>
      </c>
      <c r="K239"/>
    </row>
    <row r="240" spans="1:11" ht="16.5" thickTop="1">
      <c r="B240" s="1707" t="s">
        <v>863</v>
      </c>
      <c r="C240" s="1613"/>
      <c r="D240" s="1655"/>
      <c r="E240" s="1656"/>
      <c r="F240" s="1722"/>
      <c r="G240" s="1655"/>
      <c r="H240" s="1656"/>
      <c r="I240" s="1656"/>
      <c r="J240" s="1658"/>
      <c r="K240"/>
    </row>
    <row r="241" spans="1:11">
      <c r="A241" s="952" t="s">
        <v>864</v>
      </c>
      <c r="B241" s="1707"/>
      <c r="C241" s="1633" t="str">
        <f>'COMM-FTE'!D48</f>
        <v>ASA Counselor</v>
      </c>
      <c r="D241" s="1639">
        <f>'COMM-FTE'!M48</f>
        <v>0</v>
      </c>
      <c r="G241" s="1640" t="s">
        <v>509</v>
      </c>
      <c r="H241" s="1641" t="e">
        <f>INDEX('Pay Scales'!$C$6:$D$30,MATCH(G241,'Pay Scales'!$C$6:$C$30,0),2)*(1+('Pay Scales'!$V$6*('Pay Scales'!$U$4=4)))*(1+('Pay Scales'!$D$2))</f>
        <v>#N/A</v>
      </c>
      <c r="I241" s="1641" t="e">
        <f>H241*D241</f>
        <v>#N/A</v>
      </c>
      <c r="J241" s="1700"/>
      <c r="K241" t="s">
        <v>805</v>
      </c>
    </row>
    <row r="242" spans="1:11" ht="16.5" thickBot="1">
      <c r="A242" s="952" t="s">
        <v>865</v>
      </c>
      <c r="B242" s="1707"/>
      <c r="C242" s="1633" t="str">
        <f>'COMM-FTE'!D49</f>
        <v>ASA Therapist</v>
      </c>
      <c r="D242" s="1639">
        <f>'COMM-FTE'!M49</f>
        <v>0</v>
      </c>
      <c r="G242" s="1640" t="s">
        <v>509</v>
      </c>
      <c r="H242" s="1641" t="e">
        <f>INDEX('Pay Scales'!$C$6:$D$30,MATCH(G242,'Pay Scales'!$C$6:$C$30,0),2)*(1+('Pay Scales'!$V$6*('Pay Scales'!$U$4=4)))*(1+('Pay Scales'!$D$2))</f>
        <v>#N/A</v>
      </c>
      <c r="I242" s="1641" t="e">
        <f>H242*D242</f>
        <v>#N/A</v>
      </c>
      <c r="J242" s="1700"/>
      <c r="K242" t="s">
        <v>805</v>
      </c>
    </row>
    <row r="243" spans="1:11" ht="17.25" customHeight="1" thickTop="1" thickBot="1">
      <c r="B243" s="1707"/>
      <c r="D243" s="1706">
        <f>SUM(D241:D242)</f>
        <v>0</v>
      </c>
      <c r="E243" s="1649"/>
      <c r="F243" s="1649"/>
      <c r="G243" s="1708"/>
      <c r="H243" s="1709"/>
      <c r="I243" s="1709"/>
      <c r="J243" s="1710" t="e">
        <f>SUM(I241:I242)</f>
        <v>#N/A</v>
      </c>
      <c r="K243"/>
    </row>
    <row r="244" spans="1:11" ht="17.25" customHeight="1" thickTop="1">
      <c r="B244" s="1653" t="s">
        <v>866</v>
      </c>
      <c r="D244" s="1655"/>
      <c r="E244" s="1656"/>
      <c r="F244" s="1722"/>
      <c r="G244" s="1655"/>
      <c r="H244" s="1656"/>
      <c r="I244" s="1656"/>
      <c r="J244" s="1658"/>
      <c r="K244"/>
    </row>
    <row r="245" spans="1:11" ht="17.25" customHeight="1">
      <c r="A245" s="952" t="s">
        <v>867</v>
      </c>
      <c r="B245" s="1653"/>
      <c r="C245" s="1633" t="str">
        <f>'COMM-FTE'!D52</f>
        <v>Case Manager</v>
      </c>
      <c r="D245" s="1639">
        <f>'COMM-FTE'!M52</f>
        <v>0</v>
      </c>
      <c r="G245" s="1640" t="s">
        <v>509</v>
      </c>
      <c r="H245" s="1641" t="e">
        <f>INDEX('Pay Scales'!$C$6:$D$30,MATCH(G245,'Pay Scales'!$C$6:$C$30,0),2)*(1+('Pay Scales'!$V$6*('Pay Scales'!$U$4=4)))*(1+('Pay Scales'!$D$2))</f>
        <v>#N/A</v>
      </c>
      <c r="I245" s="1641" t="e">
        <f>H245*D245</f>
        <v>#N/A</v>
      </c>
      <c r="J245" s="1700"/>
      <c r="K245" t="s">
        <v>36</v>
      </c>
    </row>
    <row r="246" spans="1:11" ht="17.25" customHeight="1">
      <c r="A246" s="952" t="s">
        <v>868</v>
      </c>
      <c r="B246" s="1653"/>
      <c r="C246" s="1633" t="str">
        <f>'COMM-FTE'!D53</f>
        <v>Management Analysis</v>
      </c>
      <c r="D246" s="1639">
        <f>'COMM-FTE'!M53</f>
        <v>0</v>
      </c>
      <c r="G246" s="1640" t="s">
        <v>509</v>
      </c>
      <c r="H246" s="1641" t="e">
        <f>INDEX('Pay Scales'!$C$6:$D$30,MATCH(G246,'Pay Scales'!$C$6:$C$30,0),2)*(1+('Pay Scales'!$V$6*('Pay Scales'!$U$4=4)))*(1+('Pay Scales'!$D$2))</f>
        <v>#N/A</v>
      </c>
      <c r="I246" s="1641" t="e">
        <f>H246*D246</f>
        <v>#N/A</v>
      </c>
      <c r="J246" s="1700"/>
      <c r="K246" t="s">
        <v>36</v>
      </c>
    </row>
    <row r="247" spans="1:11" ht="17.25" customHeight="1" thickBot="1">
      <c r="A247" s="952" t="s">
        <v>869</v>
      </c>
      <c r="B247" s="1653"/>
      <c r="C247" s="1633" t="str">
        <f>'COMM-FTE'!D54</f>
        <v>Clerical Pool for MH &amp; SS</v>
      </c>
      <c r="D247" s="1639">
        <f>'COMM-FTE'!M54</f>
        <v>0</v>
      </c>
      <c r="G247" s="1640" t="s">
        <v>517</v>
      </c>
      <c r="H247" s="1641" t="e">
        <f>INDEX('Pay Scales'!$C$6:$D$30,MATCH(G247,'Pay Scales'!$C$6:$C$30,0),2)*(1+('Pay Scales'!$V$6*('Pay Scales'!$U$4=4)))*(1+('Pay Scales'!$D$2))</f>
        <v>#N/A</v>
      </c>
      <c r="I247" s="1641" t="e">
        <f>H247*D247</f>
        <v>#N/A</v>
      </c>
      <c r="J247" s="1700"/>
      <c r="K247" t="s">
        <v>36</v>
      </c>
    </row>
    <row r="248" spans="1:11" ht="17.25" thickTop="1" thickBot="1">
      <c r="B248" s="1632"/>
      <c r="C248" s="1633"/>
      <c r="D248" s="1724">
        <f>SUM(D245:D247)</f>
        <v>0</v>
      </c>
      <c r="E248" s="1649"/>
      <c r="F248" s="1649"/>
      <c r="G248" s="1708"/>
      <c r="H248" s="1709"/>
      <c r="I248" s="1709"/>
      <c r="J248" s="1710" t="e">
        <f>SUM(I245:I247)</f>
        <v>#N/A</v>
      </c>
      <c r="K248"/>
    </row>
    <row r="249" spans="1:11" ht="16.5" thickTop="1">
      <c r="B249" s="1663" t="s">
        <v>870</v>
      </c>
      <c r="C249" s="1664"/>
      <c r="D249" s="1655"/>
      <c r="E249" s="1656"/>
      <c r="F249" s="1722"/>
      <c r="G249" s="1655"/>
      <c r="H249" s="1656"/>
      <c r="I249" s="1656"/>
      <c r="J249" s="1658"/>
      <c r="K249"/>
    </row>
    <row r="250" spans="1:11">
      <c r="B250" s="1707"/>
      <c r="C250" s="1633" t="str">
        <f>'COMM-FTE'!D73</f>
        <v>CM_Adjustment 1</v>
      </c>
      <c r="D250" s="1639">
        <f>'COMM-FTE'!M73</f>
        <v>0</v>
      </c>
      <c r="G250" s="1640" t="s">
        <v>430</v>
      </c>
      <c r="H250" s="1641" t="e">
        <f>INDEX('Pay Scales'!$C$5:$D$30,MATCH(G250,'Pay Scales'!$C$5:$C$30,0),2)*(1+('Pay Scales'!$V$6*('Pay Scales'!$U$4=4)))*(1+('Pay Scales'!$D$2))</f>
        <v>#N/A</v>
      </c>
      <c r="I250" s="1641" t="e">
        <f t="shared" ref="I250:I261" si="10">H250*D250</f>
        <v>#N/A</v>
      </c>
      <c r="J250" s="1642"/>
      <c r="K250" t="s">
        <v>601</v>
      </c>
    </row>
    <row r="251" spans="1:11">
      <c r="B251" s="1707"/>
      <c r="C251" s="1633" t="str">
        <f>'COMM-FTE'!D74</f>
        <v>CM_Adjustment 2</v>
      </c>
      <c r="D251" s="1639">
        <f>'COMM-FTE'!M74</f>
        <v>0</v>
      </c>
      <c r="G251" s="1640" t="s">
        <v>430</v>
      </c>
      <c r="H251" s="1641" t="e">
        <f>INDEX('Pay Scales'!$C$5:$D$30,MATCH(G251,'Pay Scales'!$C$5:$C$30,0),2)*(1+('Pay Scales'!$V$6*('Pay Scales'!$U$4=4)))*(1+('Pay Scales'!$D$2))</f>
        <v>#N/A</v>
      </c>
      <c r="I251" s="1641" t="e">
        <f t="shared" si="10"/>
        <v>#N/A</v>
      </c>
      <c r="J251" s="1642"/>
      <c r="K251" t="s">
        <v>601</v>
      </c>
    </row>
    <row r="252" spans="1:11">
      <c r="B252" s="1707"/>
      <c r="C252" s="1633" t="str">
        <f>'COMM-FTE'!D75</f>
        <v>CM_Adjustment 3</v>
      </c>
      <c r="D252" s="1639">
        <f>'COMM-FTE'!M75</f>
        <v>0</v>
      </c>
      <c r="G252" s="1640" t="s">
        <v>430</v>
      </c>
      <c r="H252" s="1641" t="e">
        <f>INDEX('Pay Scales'!$C$5:$D$30,MATCH(G252,'Pay Scales'!$C$5:$C$30,0),2)*(1+('Pay Scales'!$V$6*('Pay Scales'!$U$4=4)))*(1+('Pay Scales'!$D$2))</f>
        <v>#N/A</v>
      </c>
      <c r="I252" s="1641" t="e">
        <f t="shared" si="10"/>
        <v>#N/A</v>
      </c>
      <c r="J252" s="1642"/>
      <c r="K252" t="s">
        <v>601</v>
      </c>
    </row>
    <row r="253" spans="1:11">
      <c r="B253" s="1707"/>
      <c r="C253" s="1633" t="str">
        <f>'COMM-FTE'!D76</f>
        <v>CM_Adjustment 4</v>
      </c>
      <c r="D253" s="1639">
        <f>'COMM-FTE'!M76</f>
        <v>0</v>
      </c>
      <c r="G253" s="1640" t="s">
        <v>430</v>
      </c>
      <c r="H253" s="1641" t="e">
        <f>INDEX('Pay Scales'!$C$5:$D$30,MATCH(G253,'Pay Scales'!$C$5:$C$30,0),2)*(1+('Pay Scales'!$V$6*('Pay Scales'!$U$4=4)))*(1+('Pay Scales'!$D$2))</f>
        <v>#N/A</v>
      </c>
      <c r="I253" s="1641" t="e">
        <f t="shared" si="10"/>
        <v>#N/A</v>
      </c>
      <c r="J253" s="1642"/>
      <c r="K253" t="s">
        <v>601</v>
      </c>
    </row>
    <row r="254" spans="1:11">
      <c r="B254" s="1707"/>
      <c r="C254" s="1633" t="str">
        <f>'COMM-FTE'!D77</f>
        <v>CM_Adjustment 5</v>
      </c>
      <c r="D254" s="1639">
        <f>'COMM-FTE'!M77</f>
        <v>0</v>
      </c>
      <c r="G254" s="1640" t="s">
        <v>430</v>
      </c>
      <c r="H254" s="1641" t="e">
        <f>INDEX('Pay Scales'!$C$5:$D$30,MATCH(G254,'Pay Scales'!$C$5:$C$30,0),2)*(1+('Pay Scales'!$V$6*('Pay Scales'!$U$4=4)))*(1+('Pay Scales'!$D$2))</f>
        <v>#N/A</v>
      </c>
      <c r="I254" s="1641" t="e">
        <f t="shared" si="10"/>
        <v>#N/A</v>
      </c>
      <c r="J254" s="1642"/>
      <c r="K254" t="s">
        <v>601</v>
      </c>
    </row>
    <row r="255" spans="1:11">
      <c r="B255" s="1707"/>
      <c r="C255" s="1633" t="str">
        <f>'COMM-FTE'!D78</f>
        <v>CM_Adjustment 6</v>
      </c>
      <c r="D255" s="1639">
        <f>'COMM-FTE'!M78</f>
        <v>0</v>
      </c>
      <c r="G255" s="1640" t="s">
        <v>430</v>
      </c>
      <c r="H255" s="1641" t="e">
        <f>INDEX('Pay Scales'!$C$5:$D$30,MATCH(G255,'Pay Scales'!$C$5:$C$30,0),2)*(1+('Pay Scales'!$V$6*('Pay Scales'!$U$4=4)))*(1+('Pay Scales'!$D$2))</f>
        <v>#N/A</v>
      </c>
      <c r="I255" s="1641" t="e">
        <f t="shared" si="10"/>
        <v>#N/A</v>
      </c>
      <c r="J255" s="1642"/>
      <c r="K255" t="s">
        <v>601</v>
      </c>
    </row>
    <row r="256" spans="1:11">
      <c r="B256" s="1707"/>
      <c r="C256" s="1633" t="str">
        <f>'COMM-FTE'!D79</f>
        <v>CM_Adjustment 7</v>
      </c>
      <c r="D256" s="1639">
        <f>'COMM-FTE'!M79</f>
        <v>0</v>
      </c>
      <c r="G256" s="1640" t="s">
        <v>430</v>
      </c>
      <c r="H256" s="1641" t="e">
        <f>INDEX('Pay Scales'!$C$5:$D$30,MATCH(G256,'Pay Scales'!$C$5:$C$30,0),2)*(1+('Pay Scales'!$V$6*('Pay Scales'!$U$4=4)))*(1+('Pay Scales'!$D$2))</f>
        <v>#N/A</v>
      </c>
      <c r="I256" s="1641" t="e">
        <f t="shared" si="10"/>
        <v>#N/A</v>
      </c>
      <c r="J256" s="1642"/>
      <c r="K256" t="s">
        <v>601</v>
      </c>
    </row>
    <row r="257" spans="1:11">
      <c r="B257" s="1707"/>
      <c r="C257" s="1633" t="str">
        <f>'COMM-FTE'!D80</f>
        <v>CM_Adjustment 8</v>
      </c>
      <c r="D257" s="1639">
        <f>'COMM-FTE'!M80</f>
        <v>0</v>
      </c>
      <c r="G257" s="1640" t="s">
        <v>430</v>
      </c>
      <c r="H257" s="1641" t="e">
        <f>INDEX('Pay Scales'!$C$5:$D$30,MATCH(G257,'Pay Scales'!$C$5:$C$30,0),2)*(1+('Pay Scales'!$V$6*('Pay Scales'!$U$4=4)))*(1+('Pay Scales'!$D$2))</f>
        <v>#N/A</v>
      </c>
      <c r="I257" s="1641" t="e">
        <f t="shared" si="10"/>
        <v>#N/A</v>
      </c>
      <c r="J257" s="1642"/>
      <c r="K257" t="s">
        <v>601</v>
      </c>
    </row>
    <row r="258" spans="1:11">
      <c r="B258" s="1707"/>
      <c r="C258" s="1633" t="str">
        <f>'COMM-FTE'!D81</f>
        <v>CM_Adjustment 9</v>
      </c>
      <c r="D258" s="1639">
        <f>'COMM-FTE'!M81</f>
        <v>0</v>
      </c>
      <c r="G258" s="1640" t="s">
        <v>430</v>
      </c>
      <c r="H258" s="1641" t="e">
        <f>INDEX('Pay Scales'!$C$5:$D$30,MATCH(G258,'Pay Scales'!$C$5:$C$30,0),2)*(1+('Pay Scales'!$V$6*('Pay Scales'!$U$4=4)))*(1+('Pay Scales'!$D$2))</f>
        <v>#N/A</v>
      </c>
      <c r="I258" s="1641" t="e">
        <f t="shared" si="10"/>
        <v>#N/A</v>
      </c>
      <c r="J258" s="1642"/>
      <c r="K258" t="s">
        <v>601</v>
      </c>
    </row>
    <row r="259" spans="1:11">
      <c r="B259" s="1707"/>
      <c r="C259" s="1633" t="str">
        <f>'COMM-FTE'!D82</f>
        <v>CM_Adjustment 10</v>
      </c>
      <c r="D259" s="1639">
        <f>'COMM-FTE'!M82</f>
        <v>0</v>
      </c>
      <c r="G259" s="1640" t="s">
        <v>430</v>
      </c>
      <c r="H259" s="1641" t="e">
        <f>INDEX('Pay Scales'!$C$5:$D$30,MATCH(G259,'Pay Scales'!$C$5:$C$30,0),2)*(1+('Pay Scales'!$V$6*('Pay Scales'!$U$4=4)))*(1+('Pay Scales'!$D$2))</f>
        <v>#N/A</v>
      </c>
      <c r="I259" s="1641" t="e">
        <f t="shared" si="10"/>
        <v>#N/A</v>
      </c>
      <c r="J259" s="1642"/>
      <c r="K259" t="s">
        <v>601</v>
      </c>
    </row>
    <row r="260" spans="1:11">
      <c r="B260" s="1707"/>
      <c r="C260" s="1633" t="str">
        <f>'COMM-FTE'!D83</f>
        <v>CM_Adjustment 11</v>
      </c>
      <c r="D260" s="1639">
        <f>'COMM-FTE'!M83</f>
        <v>0</v>
      </c>
      <c r="G260" s="1793" t="s">
        <v>430</v>
      </c>
      <c r="H260" s="1641" t="e">
        <f>INDEX('Pay Scales'!$C$5:$D$30,MATCH(G260,'Pay Scales'!$C$5:$C$30,0),2)*(1+('Pay Scales'!$V$6*('Pay Scales'!$U$4=4)))*(1+('Pay Scales'!$D$2))</f>
        <v>#N/A</v>
      </c>
      <c r="I260" s="1641" t="e">
        <f t="shared" si="10"/>
        <v>#N/A</v>
      </c>
      <c r="J260" s="1642"/>
      <c r="K260" t="s">
        <v>601</v>
      </c>
    </row>
    <row r="261" spans="1:11" ht="16.5" thickBot="1">
      <c r="B261" s="1725"/>
      <c r="C261" s="1633" t="str">
        <f>'COMM-FTE'!D84</f>
        <v>CM_Adjustment 12</v>
      </c>
      <c r="D261" s="1665">
        <f>'COMM-FTE'!M84</f>
        <v>0</v>
      </c>
      <c r="G261" s="1640" t="s">
        <v>430</v>
      </c>
      <c r="H261" s="1641" t="e">
        <f>INDEX('Pay Scales'!$C$5:$D$30,MATCH(G261,'Pay Scales'!$C$5:$C$30,0),2)*(1+('Pay Scales'!$V$6*('Pay Scales'!$U$4=4)))*(1+('Pay Scales'!$D$2))</f>
        <v>#N/A</v>
      </c>
      <c r="I261" s="1641" t="e">
        <f t="shared" si="10"/>
        <v>#N/A</v>
      </c>
      <c r="J261" s="1642"/>
      <c r="K261" t="s">
        <v>601</v>
      </c>
    </row>
    <row r="262" spans="1:11" ht="17.25" thickTop="1" thickBot="1">
      <c r="B262" s="1632"/>
      <c r="C262" s="1647" t="s">
        <v>88</v>
      </c>
      <c r="D262" s="1724">
        <f>SUM(D250:D261)</f>
        <v>0</v>
      </c>
      <c r="E262" s="1649"/>
      <c r="F262" s="1649"/>
      <c r="G262" s="1708"/>
      <c r="H262" s="1709"/>
      <c r="I262" s="1709"/>
      <c r="J262" s="1710" t="e">
        <f>SUM(I250:I261)</f>
        <v>#N/A</v>
      </c>
      <c r="K262"/>
    </row>
    <row r="263" spans="1:11" ht="19.5" thickBot="1">
      <c r="B263" s="1697" t="s">
        <v>994</v>
      </c>
      <c r="C263" s="1698"/>
      <c r="D263" s="1726">
        <f>D262+D248+D243+D239+D235+D230+D223+D214+D210+D205+D199</f>
        <v>0</v>
      </c>
      <c r="E263" s="1670"/>
      <c r="F263" s="1670"/>
      <c r="G263" s="1671"/>
      <c r="H263" s="1672"/>
      <c r="I263" s="1672"/>
      <c r="J263" s="1673"/>
      <c r="K263"/>
    </row>
    <row r="264" spans="1:11" ht="16.5" thickTop="1">
      <c r="B264" s="1960" t="s">
        <v>866</v>
      </c>
      <c r="C264" s="1961"/>
      <c r="D264" s="1620"/>
      <c r="E264" s="1621"/>
      <c r="F264" s="1621"/>
      <c r="G264" s="1622"/>
      <c r="H264" s="1621"/>
      <c r="I264" s="1621"/>
      <c r="J264" s="1623"/>
      <c r="K264"/>
    </row>
    <row r="265" spans="1:11" ht="16.5" thickBot="1">
      <c r="B265" s="1653" t="s">
        <v>347</v>
      </c>
      <c r="C265" s="1674"/>
      <c r="D265" s="1627"/>
      <c r="E265" s="1628"/>
      <c r="F265" s="1628"/>
      <c r="G265" s="1629"/>
      <c r="H265" s="1628"/>
      <c r="I265" s="1628"/>
      <c r="J265" s="1630"/>
      <c r="K265"/>
    </row>
    <row r="266" spans="1:11">
      <c r="A266" s="952">
        <v>206</v>
      </c>
      <c r="B266" s="1632"/>
      <c r="C266" s="1633" t="str">
        <f>'OPS-FTE'!D79</f>
        <v>Executive Staff</v>
      </c>
      <c r="D266" s="1639">
        <f ca="1">'OPS-FTE'!M79+'OPS-FTE'!N79</f>
        <v>0</v>
      </c>
      <c r="G266" s="1640" t="s">
        <v>511</v>
      </c>
      <c r="H266" s="1641" t="e">
        <f>INDEX('Pay Scales'!$C$6:$D$30,MATCH(G266,'Pay Scales'!$C$6:$C$30,0),2)*(1+('Pay Scales'!$V$6*('Pay Scales'!$U$4=4)))*(1+('Pay Scales'!$D$2))</f>
        <v>#N/A</v>
      </c>
      <c r="I266" s="1641" t="e">
        <f t="shared" ref="I266:I273" ca="1" si="11">H266*D266</f>
        <v>#N/A</v>
      </c>
      <c r="J266" s="1642"/>
      <c r="K266" t="s">
        <v>601</v>
      </c>
    </row>
    <row r="267" spans="1:11">
      <c r="A267" s="952">
        <v>212</v>
      </c>
      <c r="B267" s="1632"/>
      <c r="C267" s="1633" t="str">
        <f>'OPS-FTE'!D81</f>
        <v>Admin. Support Staff</v>
      </c>
      <c r="D267" s="1639">
        <f>'OPS-FTE'!M81</f>
        <v>0</v>
      </c>
      <c r="G267" s="1640" t="s">
        <v>520</v>
      </c>
      <c r="H267" s="1641" t="e">
        <f>INDEX('Pay Scales'!$C$6:$D$30,MATCH(G267,'Pay Scales'!$C$6:$C$30,0),2)*(1+('Pay Scales'!$V$6*('Pay Scales'!$U$4=4)))*(1+('Pay Scales'!$D$2))</f>
        <v>#N/A</v>
      </c>
      <c r="I267" s="1641" t="e">
        <f t="shared" si="11"/>
        <v>#N/A</v>
      </c>
      <c r="J267" s="1642"/>
      <c r="K267" t="s">
        <v>601</v>
      </c>
    </row>
    <row r="268" spans="1:11">
      <c r="A268" s="952">
        <v>208</v>
      </c>
      <c r="B268" s="1632"/>
      <c r="C268" s="1633" t="str">
        <f>'OPS-FTE'!D82</f>
        <v>Clinical Director</v>
      </c>
      <c r="D268" s="1639">
        <f>'OPS-FTE'!M82</f>
        <v>0</v>
      </c>
      <c r="G268" s="1640" t="s">
        <v>512</v>
      </c>
      <c r="H268" s="1641" t="e">
        <f>INDEX('Pay Scales'!$G$6:$K$8,MATCH(G268,'Pay Scales'!$G$6:$G$8,0),'Pay Scales'!$U$4+1)*(1+('Pay Scales'!$V$6*('Pay Scales'!$U$4=4)))*(1+('Pay Scales'!$D$2))</f>
        <v>#N/A</v>
      </c>
      <c r="I268" s="1641" t="e">
        <f t="shared" si="11"/>
        <v>#N/A</v>
      </c>
      <c r="J268" s="1642"/>
      <c r="K268" t="s">
        <v>601</v>
      </c>
    </row>
    <row r="269" spans="1:11">
      <c r="A269" s="952">
        <v>207</v>
      </c>
      <c r="B269" s="1632"/>
      <c r="C269" s="1633" t="str">
        <f>'OPS-FTE'!D83</f>
        <v>Administrator, Health Center</v>
      </c>
      <c r="D269" s="1639">
        <f>'OPS-FTE'!M83</f>
        <v>0</v>
      </c>
      <c r="G269" s="1640" t="s">
        <v>512</v>
      </c>
      <c r="H269" s="1641" t="e">
        <f>INDEX('Pay Scales'!$G$6:$K$8,MATCH(G269,'Pay Scales'!$G$6:$G$8,0),'Pay Scales'!$U$4+1)*(1+('Pay Scales'!$V$6*('Pay Scales'!$U$4=4)))*(1+('Pay Scales'!$D$2))</f>
        <v>#N/A</v>
      </c>
      <c r="I269" s="1641" t="e">
        <f t="shared" si="11"/>
        <v>#N/A</v>
      </c>
      <c r="J269" s="1642"/>
      <c r="K269" t="s">
        <v>601</v>
      </c>
    </row>
    <row r="270" spans="1:11">
      <c r="A270" s="952">
        <v>221</v>
      </c>
      <c r="B270" s="1632"/>
      <c r="C270" s="1633" t="str">
        <f>'OPS-FTE'!D84</f>
        <v>Personnel Clerk</v>
      </c>
      <c r="D270" s="1639">
        <f>'OPS-FTE'!M84</f>
        <v>0</v>
      </c>
      <c r="G270" s="1640" t="s">
        <v>511</v>
      </c>
      <c r="H270" s="1641" t="e">
        <f>INDEX('Pay Scales'!$C$6:$D$30,MATCH(G270,'Pay Scales'!$C$6:$C$30,0),2)*(1+('Pay Scales'!$V$6*('Pay Scales'!$U$4=4)))*(1+('Pay Scales'!$D$2))</f>
        <v>#N/A</v>
      </c>
      <c r="I270" s="1641" t="e">
        <f t="shared" si="11"/>
        <v>#N/A</v>
      </c>
      <c r="J270" s="1642"/>
      <c r="K270" t="s">
        <v>601</v>
      </c>
    </row>
    <row r="271" spans="1:11">
      <c r="A271" s="952">
        <v>220</v>
      </c>
      <c r="B271" s="1632"/>
      <c r="C271" s="1633" t="str">
        <f>'OPS-FTE'!D85</f>
        <v>Personnel Director/Officer</v>
      </c>
      <c r="D271" s="1682">
        <f ca="1">'OPS-FTE'!M85</f>
        <v>0</v>
      </c>
      <c r="G271" s="1640" t="s">
        <v>520</v>
      </c>
      <c r="H271" s="1641" t="e">
        <f>INDEX('Pay Scales'!$C$6:$D$30,MATCH(G271,'Pay Scales'!$C$6:$C$30,0),2)*(1+('Pay Scales'!$V$6*('Pay Scales'!$U$4=4)))*(1+('Pay Scales'!$D$2))</f>
        <v>#N/A</v>
      </c>
      <c r="I271" s="1641" t="e">
        <f t="shared" ca="1" si="11"/>
        <v>#N/A</v>
      </c>
      <c r="J271" s="1642"/>
      <c r="K271" t="s">
        <v>601</v>
      </c>
    </row>
    <row r="272" spans="1:11">
      <c r="A272" s="952">
        <v>210</v>
      </c>
      <c r="B272" s="1632"/>
      <c r="C272" s="1633" t="str">
        <f>'OPS-FTE'!D86</f>
        <v>Asst. Director of Nursing</v>
      </c>
      <c r="D272" s="1682">
        <f>'OPS-FTE'!M86</f>
        <v>0</v>
      </c>
      <c r="G272" s="1640" t="s">
        <v>512</v>
      </c>
      <c r="H272" s="1641" t="e">
        <f>INDEX('Pay Scales'!$G$6:$K$8,MATCH(G272,'Pay Scales'!$G$6:$G$8,0),'Pay Scales'!$U$4+1)*(1+('Pay Scales'!$V$6*('Pay Scales'!$U$4=4)))*(1+('Pay Scales'!$D$2))</f>
        <v>#N/A</v>
      </c>
      <c r="I272" s="1641" t="e">
        <f t="shared" si="11"/>
        <v>#N/A</v>
      </c>
      <c r="J272" s="1642"/>
      <c r="K272" t="s">
        <v>601</v>
      </c>
    </row>
    <row r="273" spans="1:11" ht="16.5" thickBot="1">
      <c r="A273" s="952">
        <v>431</v>
      </c>
      <c r="B273" s="1632"/>
      <c r="C273" s="1633" t="str">
        <f>'OPS-FTE'!D87</f>
        <v>Infection Preventionist</v>
      </c>
      <c r="D273" s="1682">
        <f>'OPS-FTE'!M87+'OPS-FTE'!M88+'OPS-FTE'!M89</f>
        <v>0</v>
      </c>
      <c r="G273" s="1640" t="s">
        <v>512</v>
      </c>
      <c r="H273" s="1641" t="e">
        <f>INDEX('Pay Scales'!$G$6:$K$8,MATCH(G273,'Pay Scales'!$G$6:$G$8,0),'Pay Scales'!$U$4+1)*(1+('Pay Scales'!$V$6*('Pay Scales'!$U$4=4)))*(1+('Pay Scales'!$D$2))</f>
        <v>#N/A</v>
      </c>
      <c r="I273" s="1641" t="e">
        <f t="shared" si="11"/>
        <v>#N/A</v>
      </c>
      <c r="J273" s="1642"/>
      <c r="K273" t="s">
        <v>601</v>
      </c>
    </row>
    <row r="274" spans="1:11" ht="17.25" thickTop="1" thickBot="1">
      <c r="B274" s="1632"/>
      <c r="C274" s="1727" t="s">
        <v>88</v>
      </c>
      <c r="D274" s="1724">
        <f ca="1">SUM(D266:D273)</f>
        <v>0</v>
      </c>
      <c r="E274" s="1649"/>
      <c r="F274" s="1649"/>
      <c r="G274" s="1708"/>
      <c r="H274" s="1709"/>
      <c r="I274" s="1709"/>
      <c r="J274" s="1710" t="e">
        <f ca="1">SUM(I266:I273)</f>
        <v>#N/A</v>
      </c>
      <c r="K274"/>
    </row>
    <row r="275" spans="1:11" ht="16.5" thickTop="1">
      <c r="B275" s="1653" t="s">
        <v>324</v>
      </c>
      <c r="C275" s="1728"/>
      <c r="D275" s="1655"/>
      <c r="E275" s="1656"/>
      <c r="F275" s="1722"/>
      <c r="G275" s="1655"/>
      <c r="H275" s="1656"/>
      <c r="I275" s="1656"/>
      <c r="J275" s="1658"/>
      <c r="K275"/>
    </row>
    <row r="276" spans="1:11">
      <c r="A276" s="952">
        <v>214</v>
      </c>
      <c r="B276" s="1653"/>
      <c r="C276" s="1633" t="str">
        <f>'OPS-FTE'!D101</f>
        <v>Finance Staff</v>
      </c>
      <c r="D276" s="1639">
        <f ca="1">'OPS-FTE'!M101+'OPS-FTE'!N101</f>
        <v>0</v>
      </c>
      <c r="G276" s="1640" t="s">
        <v>520</v>
      </c>
      <c r="H276" s="1641" t="e">
        <f>INDEX('Pay Scales'!$C$6:$D$30,MATCH(G276,'Pay Scales'!$C$6:$C$30,0),2)*(1+('Pay Scales'!$V$6*('Pay Scales'!$U$4=4)))*(1+('Pay Scales'!$D$2))</f>
        <v>#N/A</v>
      </c>
      <c r="I276" s="1641" t="e">
        <f ca="1">H276*D276</f>
        <v>#N/A</v>
      </c>
      <c r="J276" s="1642"/>
      <c r="K276" t="s">
        <v>601</v>
      </c>
    </row>
    <row r="277" spans="1:11">
      <c r="A277" s="952">
        <v>213</v>
      </c>
      <c r="B277" s="1653"/>
      <c r="C277" s="1633" t="str">
        <f>'OPS-FTE'!D102</f>
        <v>Financial Manager</v>
      </c>
      <c r="D277" s="1639">
        <f ca="1">'OPS-FTE'!M102</f>
        <v>0</v>
      </c>
      <c r="G277" s="1640" t="s">
        <v>520</v>
      </c>
      <c r="H277" s="1641" t="e">
        <f>INDEX('Pay Scales'!$C$6:$D$30,MATCH(G277,'Pay Scales'!$C$6:$C$30,0),2)*(1+('Pay Scales'!$V$6*('Pay Scales'!$U$4=4)))*(1+('Pay Scales'!$D$2))</f>
        <v>#N/A</v>
      </c>
      <c r="I277" s="1641" t="e">
        <f ca="1">H277*D277</f>
        <v>#N/A</v>
      </c>
      <c r="J277" s="1642"/>
      <c r="K277" t="s">
        <v>601</v>
      </c>
    </row>
    <row r="278" spans="1:11">
      <c r="A278" s="952">
        <v>215</v>
      </c>
      <c r="B278" s="1653"/>
      <c r="C278" s="1633" t="str">
        <f>'OPS-FTE'!D103</f>
        <v>Accounting Clerk</v>
      </c>
      <c r="D278" s="1639">
        <f>'OPS-FTE'!M103</f>
        <v>0</v>
      </c>
      <c r="G278" s="1640" t="s">
        <v>520</v>
      </c>
      <c r="H278" s="1641" t="e">
        <f>INDEX('Pay Scales'!$C$6:$D$30,MATCH(G278,'Pay Scales'!$C$6:$C$30,0),2)*(1+('Pay Scales'!$V$6*('Pay Scales'!$U$4=4)))*(1+('Pay Scales'!$D$2))</f>
        <v>#N/A</v>
      </c>
      <c r="I278" s="1641" t="e">
        <f>H278*D278</f>
        <v>#N/A</v>
      </c>
      <c r="J278" s="1642"/>
      <c r="K278" t="s">
        <v>601</v>
      </c>
    </row>
    <row r="279" spans="1:11">
      <c r="A279" s="952">
        <v>218</v>
      </c>
      <c r="B279" s="1653"/>
      <c r="C279" s="1633" t="str">
        <f>'OPS-FTE'!D104</f>
        <v>Bookkeeper/Accountant</v>
      </c>
      <c r="D279" s="1639">
        <f ca="1">'OPS-FTE'!M104</f>
        <v>0</v>
      </c>
      <c r="G279" s="1640" t="s">
        <v>520</v>
      </c>
      <c r="H279" s="1641" t="e">
        <f>INDEX('Pay Scales'!$C$6:$D$30,MATCH(G279,'Pay Scales'!$C$6:$C$30,0),2)*(1+('Pay Scales'!$V$6*('Pay Scales'!$U$4=4)))*(1+('Pay Scales'!$D$2))</f>
        <v>#N/A</v>
      </c>
      <c r="I279" s="1641" t="e">
        <f ca="1">H279*D279</f>
        <v>#N/A</v>
      </c>
      <c r="J279" s="1642"/>
      <c r="K279" t="s">
        <v>601</v>
      </c>
    </row>
    <row r="280" spans="1:11" ht="16.5" thickBot="1">
      <c r="A280" s="952">
        <v>217</v>
      </c>
      <c r="B280" s="1653"/>
      <c r="C280" s="1633" t="str">
        <f>'OPS-FTE'!D105</f>
        <v>Budget Analyst</v>
      </c>
      <c r="D280" s="1639">
        <f ca="1">'OPS-FTE'!M105</f>
        <v>0</v>
      </c>
      <c r="G280" s="1640" t="s">
        <v>520</v>
      </c>
      <c r="H280" s="1641" t="e">
        <f>INDEX('Pay Scales'!$C$6:$D$30,MATCH(G280,'Pay Scales'!$C$6:$C$30,0),2)*(1+('Pay Scales'!$V$6*('Pay Scales'!$U$4=4)))*(1+('Pay Scales'!$D$2))</f>
        <v>#N/A</v>
      </c>
      <c r="I280" s="1641" t="e">
        <f ca="1">H280*D280</f>
        <v>#N/A</v>
      </c>
      <c r="J280" s="1642"/>
      <c r="K280" t="s">
        <v>601</v>
      </c>
    </row>
    <row r="281" spans="1:11" ht="17.25" thickTop="1" thickBot="1">
      <c r="B281" s="1632"/>
      <c r="C281" s="1727" t="s">
        <v>88</v>
      </c>
      <c r="D281" s="1648">
        <f ca="1">SUM(D276:D280)</f>
        <v>0</v>
      </c>
      <c r="E281" s="1649"/>
      <c r="F281" s="1649"/>
      <c r="G281" s="1708"/>
      <c r="H281" s="1709"/>
      <c r="I281" s="1709"/>
      <c r="J281" s="1710" t="e">
        <f ca="1">SUM(I276:I280)</f>
        <v>#N/A</v>
      </c>
      <c r="K281"/>
    </row>
    <row r="282" spans="1:11" ht="16.5" thickTop="1">
      <c r="B282" s="1653" t="s">
        <v>326</v>
      </c>
      <c r="C282" s="1728"/>
      <c r="D282" s="1655"/>
      <c r="E282" s="1656"/>
      <c r="F282" s="1722"/>
      <c r="G282" s="1655"/>
      <c r="H282" s="1656"/>
      <c r="I282" s="1656"/>
      <c r="J282" s="1658"/>
      <c r="K282"/>
    </row>
    <row r="283" spans="1:11">
      <c r="A283" s="952">
        <v>223</v>
      </c>
      <c r="B283" s="1653"/>
      <c r="C283" s="1633" t="str">
        <f>'OPS-FTE'!D108</f>
        <v>Office Staff</v>
      </c>
      <c r="D283" s="1639">
        <f ca="1">'OPS-FTE'!M108+'OPS-FTE'!N108</f>
        <v>0</v>
      </c>
      <c r="G283" s="1640" t="s">
        <v>520</v>
      </c>
      <c r="H283" s="1641" t="e">
        <f>INDEX('Pay Scales'!$C$6:$D$30,MATCH(G283,'Pay Scales'!$C$6:$C$30,0),2)*(1+('Pay Scales'!$V$6*('Pay Scales'!$U$4=4)))*(1+('Pay Scales'!$D$2))</f>
        <v>#N/A</v>
      </c>
      <c r="I283" s="1641" t="e">
        <f ca="1">H283*D283</f>
        <v>#N/A</v>
      </c>
      <c r="J283" s="1642"/>
      <c r="K283" t="s">
        <v>601</v>
      </c>
    </row>
    <row r="284" spans="1:11" ht="16.5" thickBot="1">
      <c r="A284" s="952">
        <v>222</v>
      </c>
      <c r="B284" s="1653"/>
      <c r="C284" s="1633" t="str">
        <f>'OPS-FTE'!D109</f>
        <v>Receptionist</v>
      </c>
      <c r="D284" s="1639">
        <f ca="1">'OPS-FTE'!M109</f>
        <v>0</v>
      </c>
      <c r="G284" s="1640" t="s">
        <v>520</v>
      </c>
      <c r="H284" s="1641" t="e">
        <f>INDEX('Pay Scales'!$C$6:$D$30,MATCH(G284,'Pay Scales'!$C$6:$C$30,0),2)*(1+('Pay Scales'!$V$6*('Pay Scales'!$U$4=4)))*(1+('Pay Scales'!$D$2))</f>
        <v>#N/A</v>
      </c>
      <c r="I284" s="1641" t="e">
        <f ca="1">H284*D284</f>
        <v>#N/A</v>
      </c>
      <c r="J284" s="1642"/>
      <c r="K284" t="s">
        <v>601</v>
      </c>
    </row>
    <row r="285" spans="1:11" ht="17.25" thickTop="1" thickBot="1">
      <c r="B285" s="1632"/>
      <c r="C285" s="1727" t="s">
        <v>88</v>
      </c>
      <c r="D285" s="1648">
        <f ca="1">SUM(D283:D284)</f>
        <v>0</v>
      </c>
      <c r="E285" s="1649"/>
      <c r="F285" s="1649"/>
      <c r="G285" s="1708"/>
      <c r="H285" s="1709"/>
      <c r="I285" s="1709"/>
      <c r="J285" s="1710" t="e">
        <f ca="1">SUM(I283:I284)</f>
        <v>#N/A</v>
      </c>
      <c r="K285"/>
    </row>
    <row r="286" spans="1:11" ht="16.5" thickTop="1">
      <c r="B286" s="1653" t="s">
        <v>713</v>
      </c>
      <c r="C286" s="1728"/>
      <c r="D286" s="1655"/>
      <c r="E286" s="1656"/>
      <c r="F286" s="1722"/>
      <c r="G286" s="1655"/>
      <c r="H286" s="1656"/>
      <c r="I286" s="1656"/>
      <c r="J286" s="1658"/>
      <c r="K286"/>
    </row>
    <row r="287" spans="1:11">
      <c r="A287" s="952">
        <v>299</v>
      </c>
      <c r="B287" s="1653"/>
      <c r="C287" s="1633" t="str">
        <f>'OPS-FTE'!D112</f>
        <v>PRC Manager</v>
      </c>
      <c r="D287" s="1639">
        <f>'OPS-FTE'!M112</f>
        <v>0</v>
      </c>
      <c r="G287" s="1640" t="s">
        <v>509</v>
      </c>
      <c r="H287" s="1641" t="e">
        <f>INDEX('Pay Scales'!$C$6:$D$30,MATCH(G287,'Pay Scales'!$C$6:$C$30,0),2)*(1+('Pay Scales'!$V$6*('Pay Scales'!$U$4=4)))*(1+('Pay Scales'!$D$2))</f>
        <v>#N/A</v>
      </c>
      <c r="I287" s="1641" t="e">
        <f>H287*D287</f>
        <v>#N/A</v>
      </c>
      <c r="J287" s="1642"/>
      <c r="K287" t="s">
        <v>601</v>
      </c>
    </row>
    <row r="288" spans="1:11">
      <c r="A288" s="952">
        <v>300</v>
      </c>
      <c r="B288" s="1653"/>
      <c r="C288" s="1633" t="str">
        <f>'OPS-FTE'!D113</f>
        <v>RCIS Data Entry Clerk</v>
      </c>
      <c r="D288" s="1639">
        <f>'OPS-FTE'!M113</f>
        <v>0</v>
      </c>
      <c r="G288" s="1640" t="s">
        <v>509</v>
      </c>
      <c r="H288" s="1641" t="e">
        <f>INDEX('Pay Scales'!$C$6:$D$30,MATCH(G288,'Pay Scales'!$C$6:$C$30,0),2)*(1+('Pay Scales'!$V$6*('Pay Scales'!$U$4=4)))*(1+('Pay Scales'!$D$2))</f>
        <v>#N/A</v>
      </c>
      <c r="I288" s="1641" t="e">
        <f>H288*D288</f>
        <v>#N/A</v>
      </c>
      <c r="J288" s="1642"/>
      <c r="K288" t="s">
        <v>601</v>
      </c>
    </row>
    <row r="289" spans="1:11">
      <c r="A289" s="952">
        <v>298</v>
      </c>
      <c r="B289" s="1653"/>
      <c r="C289" s="1633" t="str">
        <f>'OPS-FTE'!D114</f>
        <v>Utilization Review Clerk</v>
      </c>
      <c r="D289" s="1639">
        <f>'OPS-FTE'!M114</f>
        <v>0</v>
      </c>
      <c r="G289" s="1640" t="s">
        <v>509</v>
      </c>
      <c r="H289" s="1641" t="e">
        <f>INDEX('Pay Scales'!$C$6:$D$30,MATCH(G289,'Pay Scales'!$C$6:$C$30,0),2)*(1+('Pay Scales'!$V$6*('Pay Scales'!$U$4=4)))*(1+('Pay Scales'!$D$2))</f>
        <v>#N/A</v>
      </c>
      <c r="I289" s="1641" t="e">
        <f>H289*D289</f>
        <v>#N/A</v>
      </c>
      <c r="J289" s="1642"/>
      <c r="K289" t="s">
        <v>601</v>
      </c>
    </row>
    <row r="290" spans="1:11" ht="16.5" thickBot="1">
      <c r="A290" s="952">
        <v>297</v>
      </c>
      <c r="B290" s="1653"/>
      <c r="C290" s="1633" t="str">
        <f>'OPS-FTE'!D115</f>
        <v>PRC Staff</v>
      </c>
      <c r="D290" s="1639">
        <f>'OPS-FTE'!M115+'OPS-FTE'!N115</f>
        <v>0</v>
      </c>
      <c r="G290" s="1640" t="s">
        <v>509</v>
      </c>
      <c r="H290" s="1641" t="e">
        <f>INDEX('Pay Scales'!$C$6:$D$30,MATCH(G290,'Pay Scales'!$C$6:$C$30,0),2)*(1+('Pay Scales'!$V$6*('Pay Scales'!$U$4=4)))*(1+('Pay Scales'!$D$2))</f>
        <v>#N/A</v>
      </c>
      <c r="I290" s="1641" t="e">
        <f>H290*D290</f>
        <v>#N/A</v>
      </c>
      <c r="J290" s="1642"/>
      <c r="K290" t="s">
        <v>601</v>
      </c>
    </row>
    <row r="291" spans="1:11" ht="17.25" thickTop="1" thickBot="1">
      <c r="B291" s="1632"/>
      <c r="C291" s="1727" t="s">
        <v>88</v>
      </c>
      <c r="D291" s="1648">
        <f>SUM(D287:D290)</f>
        <v>0</v>
      </c>
      <c r="E291" s="1649"/>
      <c r="F291" s="1649"/>
      <c r="G291" s="1708"/>
      <c r="H291" s="1709"/>
      <c r="I291" s="1709"/>
      <c r="J291" s="1710" t="e">
        <f>SUM(I287:I290)</f>
        <v>#N/A</v>
      </c>
      <c r="K291"/>
    </row>
    <row r="292" spans="1:11" ht="16.5" thickTop="1">
      <c r="B292" s="1653" t="s">
        <v>331</v>
      </c>
      <c r="C292" s="1728"/>
      <c r="D292" s="1655"/>
      <c r="E292" s="1656"/>
      <c r="F292" s="1722"/>
      <c r="G292" s="1655"/>
      <c r="H292" s="1656"/>
      <c r="I292" s="1656"/>
      <c r="J292" s="1658"/>
      <c r="K292"/>
    </row>
    <row r="293" spans="1:11">
      <c r="A293" s="952">
        <v>243</v>
      </c>
      <c r="B293" s="1653"/>
      <c r="C293" s="1633" t="str">
        <f>'OPS-FTE'!D118</f>
        <v>Business Manager</v>
      </c>
      <c r="D293" s="1639">
        <f>'OPS-FTE'!M118</f>
        <v>0</v>
      </c>
      <c r="G293" s="1640" t="s">
        <v>509</v>
      </c>
      <c r="H293" s="1641" t="e">
        <f>INDEX('Pay Scales'!$C$6:$D$30,MATCH(G293,'Pay Scales'!$C$6:$C$30,0),2)*(1+('Pay Scales'!$V$6*('Pay Scales'!$U$4=4)))*(1+('Pay Scales'!$D$2))</f>
        <v>#N/A</v>
      </c>
      <c r="I293" s="1641" t="e">
        <f>H293*D293</f>
        <v>#N/A</v>
      </c>
      <c r="J293" s="1642"/>
      <c r="K293" t="s">
        <v>601</v>
      </c>
    </row>
    <row r="294" spans="1:11">
      <c r="A294" s="952">
        <v>242</v>
      </c>
      <c r="B294" s="1653"/>
      <c r="C294" s="1633" t="str">
        <f>'OPS-FTE'!D119</f>
        <v>Patient Registration Tech.</v>
      </c>
      <c r="D294" s="1639">
        <f>'OPS-FTE'!M119</f>
        <v>0</v>
      </c>
      <c r="G294" s="1640" t="s">
        <v>518</v>
      </c>
      <c r="H294" s="1641" t="e">
        <f>INDEX('Pay Scales'!$C$6:$D$30,MATCH(G294,'Pay Scales'!$C$6:$C$30,0),2)*(1+('Pay Scales'!$V$6*('Pay Scales'!$U$4=4)))*(1+('Pay Scales'!$D$2))</f>
        <v>#N/A</v>
      </c>
      <c r="I294" s="1641" t="e">
        <f>H294*D294</f>
        <v>#N/A</v>
      </c>
      <c r="J294" s="1642"/>
      <c r="K294" t="s">
        <v>601</v>
      </c>
    </row>
    <row r="295" spans="1:11">
      <c r="A295" s="952">
        <v>241</v>
      </c>
      <c r="B295" s="1653"/>
      <c r="C295" s="1633" t="str">
        <f>'OPS-FTE'!D121</f>
        <v>Benefit Coordinator</v>
      </c>
      <c r="D295" s="1639">
        <f>'OPS-FTE'!M121</f>
        <v>0</v>
      </c>
      <c r="G295" s="1640" t="s">
        <v>518</v>
      </c>
      <c r="H295" s="1641" t="e">
        <f>INDEX('Pay Scales'!$C$6:$D$30,MATCH(G295,'Pay Scales'!$C$6:$C$30,0),2)*(1+('Pay Scales'!$V$6*('Pay Scales'!$U$4=4)))*(1+('Pay Scales'!$D$2))</f>
        <v>#N/A</v>
      </c>
      <c r="I295" s="1641" t="e">
        <f>H295*D295</f>
        <v>#N/A</v>
      </c>
      <c r="J295" s="1642"/>
      <c r="K295" t="s">
        <v>601</v>
      </c>
    </row>
    <row r="296" spans="1:11">
      <c r="A296" s="952">
        <v>245</v>
      </c>
      <c r="B296" s="1653"/>
      <c r="C296" s="1633" t="str">
        <f>'OPS-FTE'!D122</f>
        <v>UFMS Clerk</v>
      </c>
      <c r="D296" s="1639">
        <f>'OPS-FTE'!M122</f>
        <v>0</v>
      </c>
      <c r="G296" s="1640" t="s">
        <v>520</v>
      </c>
      <c r="H296" s="1641" t="e">
        <f>INDEX('Pay Scales'!$C$6:$D$30,MATCH(G296,'Pay Scales'!$C$6:$C$30,0),2)*(1+('Pay Scales'!$V$6*('Pay Scales'!$U$4=4)))*(1+('Pay Scales'!$D$2))</f>
        <v>#N/A</v>
      </c>
      <c r="I296" s="1641" t="e">
        <f>H296*D296</f>
        <v>#N/A</v>
      </c>
      <c r="J296" s="1642"/>
      <c r="K296" t="s">
        <v>601</v>
      </c>
    </row>
    <row r="297" spans="1:11" ht="16.5" thickBot="1">
      <c r="A297" s="952">
        <v>244</v>
      </c>
      <c r="B297" s="1653"/>
      <c r="C297" s="1633" t="str">
        <f>'OPS-FTE'!D123</f>
        <v>Billing/Accounts Receivable Clerk</v>
      </c>
      <c r="D297" s="1643">
        <f>'OPS-FTE'!M123+'OPS-FTE'!N123</f>
        <v>0</v>
      </c>
      <c r="G297" s="1640" t="s">
        <v>519</v>
      </c>
      <c r="H297" s="1641" t="e">
        <f>INDEX('Pay Scales'!$C$6:$D$30,MATCH(G297,'Pay Scales'!$C$6:$C$30,0),2)*(1+('Pay Scales'!$V$6*('Pay Scales'!$U$4=4)))*(1+('Pay Scales'!$D$2))</f>
        <v>#N/A</v>
      </c>
      <c r="I297" s="1641" t="e">
        <f>H297*D297</f>
        <v>#N/A</v>
      </c>
      <c r="J297" s="1642"/>
      <c r="K297" t="s">
        <v>601</v>
      </c>
    </row>
    <row r="298" spans="1:11" ht="17.25" thickTop="1" thickBot="1">
      <c r="B298" s="1632"/>
      <c r="C298" s="1727" t="s">
        <v>88</v>
      </c>
      <c r="D298" s="1691">
        <f>SUM(D293:D297)</f>
        <v>0</v>
      </c>
      <c r="E298" s="1649"/>
      <c r="F298" s="1649"/>
      <c r="G298" s="1708"/>
      <c r="H298" s="1709"/>
      <c r="I298" s="1709"/>
      <c r="J298" s="1710" t="e">
        <f>SUM(I293:I297)</f>
        <v>#N/A</v>
      </c>
      <c r="K298"/>
    </row>
    <row r="299" spans="1:11" ht="16.5" thickTop="1">
      <c r="B299" s="1653" t="str">
        <f>'OPS-FTE'!C126</f>
        <v>TELEMEDICINE</v>
      </c>
      <c r="C299" s="1728"/>
      <c r="D299" s="1655"/>
      <c r="E299" s="1656"/>
      <c r="F299" s="1722"/>
      <c r="G299" s="1655"/>
      <c r="H299" s="1656"/>
      <c r="I299" s="1656"/>
      <c r="J299" s="1658"/>
      <c r="K299"/>
    </row>
    <row r="300" spans="1:11" ht="16.5" thickBot="1">
      <c r="A300" s="952">
        <v>184</v>
      </c>
      <c r="B300" s="1653"/>
      <c r="C300" s="1633" t="str">
        <f>'OPS-FTE'!D127</f>
        <v>Telemedicine Coordinator</v>
      </c>
      <c r="D300" s="1639">
        <f>'OPS-FTE'!M127</f>
        <v>0</v>
      </c>
      <c r="G300" s="1640" t="s">
        <v>509</v>
      </c>
      <c r="H300" s="1641" t="e">
        <f>INDEX('Pay Scales'!$C$6:$D$30,MATCH(G300,'Pay Scales'!$C$6:$C$30,0),2)*(1+('Pay Scales'!$V$6*('Pay Scales'!$U$4=4)))*(1+('Pay Scales'!$D$2))</f>
        <v>#N/A</v>
      </c>
      <c r="I300" s="1641" t="e">
        <f>H300*D300</f>
        <v>#N/A</v>
      </c>
      <c r="J300" s="1642"/>
      <c r="K300" t="s">
        <v>601</v>
      </c>
    </row>
    <row r="301" spans="1:11" ht="17.25" thickTop="1" thickBot="1">
      <c r="B301" s="1632"/>
      <c r="C301" s="1727" t="s">
        <v>88</v>
      </c>
      <c r="D301" s="1691">
        <f>SUM(D300:D300)</f>
        <v>0</v>
      </c>
      <c r="E301" s="1649"/>
      <c r="F301" s="1649"/>
      <c r="G301" s="1708"/>
      <c r="H301" s="1709"/>
      <c r="I301" s="1709"/>
      <c r="J301" s="1710" t="e">
        <f>SUM(I300)</f>
        <v>#N/A</v>
      </c>
      <c r="K301"/>
    </row>
    <row r="302" spans="1:11" ht="16.5" thickTop="1">
      <c r="B302" s="1653" t="s">
        <v>584</v>
      </c>
      <c r="C302" s="1728"/>
      <c r="D302" s="1655"/>
      <c r="E302" s="1656"/>
      <c r="F302" s="1722"/>
      <c r="G302" s="1655"/>
      <c r="H302" s="1656"/>
      <c r="I302" s="1656"/>
      <c r="J302" s="1658"/>
      <c r="K302"/>
    </row>
    <row r="303" spans="1:11">
      <c r="A303" s="952">
        <v>274</v>
      </c>
      <c r="B303" s="1653"/>
      <c r="C303" s="1633" t="str">
        <f>'OPS-FTE'!D130</f>
        <v>Site Manager</v>
      </c>
      <c r="D303" s="1639">
        <f ca="1">'OPS-FTE'!M130+'OPS-FTE'!N130</f>
        <v>0</v>
      </c>
      <c r="G303" s="1640" t="s">
        <v>509</v>
      </c>
      <c r="H303" s="1641" t="e">
        <f>INDEX('Pay Scales'!$C$6:$D$30,MATCH(G303,'Pay Scales'!$C$6:$C$30,0),2)*(1+('Pay Scales'!$V$6*('Pay Scales'!$U$4=4)))*(1+('Pay Scales'!$D$2))</f>
        <v>#N/A</v>
      </c>
      <c r="I303" s="1641" t="e">
        <f t="shared" ref="I303:I309" ca="1" si="12">H303*D303</f>
        <v>#N/A</v>
      </c>
      <c r="J303" s="1642"/>
      <c r="K303" t="s">
        <v>601</v>
      </c>
    </row>
    <row r="304" spans="1:11">
      <c r="A304" s="952">
        <v>275</v>
      </c>
      <c r="B304" s="1653"/>
      <c r="C304" s="1633" t="str">
        <f>'OPS-FTE'!D131</f>
        <v>Software Technician</v>
      </c>
      <c r="D304" s="1639">
        <f ca="1">'OPS-FTE'!M131</f>
        <v>0</v>
      </c>
      <c r="G304" s="1640" t="s">
        <v>509</v>
      </c>
      <c r="H304" s="1641" t="e">
        <f>INDEX('Pay Scales'!$C$6:$D$30,MATCH(G304,'Pay Scales'!$C$6:$C$30,0),2)*(1+('Pay Scales'!$V$6*('Pay Scales'!$U$4=4)))*(1+('Pay Scales'!$D$2))</f>
        <v>#N/A</v>
      </c>
      <c r="I304" s="1641" t="e">
        <f t="shared" ca="1" si="12"/>
        <v>#N/A</v>
      </c>
      <c r="J304" s="1642"/>
      <c r="K304" t="s">
        <v>601</v>
      </c>
    </row>
    <row r="305" spans="1:11">
      <c r="A305" s="952">
        <v>271</v>
      </c>
      <c r="B305" s="1653"/>
      <c r="C305" s="1633" t="str">
        <f>'OPS-FTE'!D132</f>
        <v>Assistant Site Manager</v>
      </c>
      <c r="D305" s="1639">
        <f ca="1">'OPS-FTE'!M132</f>
        <v>0</v>
      </c>
      <c r="G305" s="1640" t="s">
        <v>509</v>
      </c>
      <c r="H305" s="1641" t="e">
        <f>INDEX('Pay Scales'!$C$6:$D$30,MATCH(G305,'Pay Scales'!$C$6:$C$30,0),2)*(1+('Pay Scales'!$V$6*('Pay Scales'!$U$4=4)))*(1+('Pay Scales'!$D$2))</f>
        <v>#N/A</v>
      </c>
      <c r="I305" s="1641" t="e">
        <f t="shared" ca="1" si="12"/>
        <v>#N/A</v>
      </c>
      <c r="J305" s="1642"/>
      <c r="K305" t="s">
        <v>601</v>
      </c>
    </row>
    <row r="306" spans="1:11">
      <c r="A306" s="952">
        <v>277</v>
      </c>
      <c r="B306" s="1653"/>
      <c r="C306" s="1633" t="str">
        <f>'OPS-FTE'!D133</f>
        <v>IT Security Person</v>
      </c>
      <c r="D306" s="1639">
        <f ca="1">'OPS-FTE'!M133</f>
        <v>0</v>
      </c>
      <c r="G306" s="1640" t="s">
        <v>509</v>
      </c>
      <c r="H306" s="1641" t="e">
        <f>INDEX('Pay Scales'!$C$6:$D$30,MATCH(G306,'Pay Scales'!$C$6:$C$30,0),2)*(1+('Pay Scales'!$V$6*('Pay Scales'!$U$4=4)))*(1+('Pay Scales'!$D$2))</f>
        <v>#N/A</v>
      </c>
      <c r="I306" s="1641" t="e">
        <f t="shared" ca="1" si="12"/>
        <v>#N/A</v>
      </c>
      <c r="J306" s="1642"/>
      <c r="K306" t="s">
        <v>601</v>
      </c>
    </row>
    <row r="307" spans="1:11">
      <c r="A307" s="952">
        <v>272</v>
      </c>
      <c r="B307" s="1653"/>
      <c r="C307" s="1633" t="str">
        <f>'OPS-FTE'!D134</f>
        <v>Network Application Technician</v>
      </c>
      <c r="D307" s="1639">
        <f ca="1">'OPS-FTE'!M134</f>
        <v>0</v>
      </c>
      <c r="G307" s="1640" t="s">
        <v>509</v>
      </c>
      <c r="H307" s="1641" t="e">
        <f>INDEX('Pay Scales'!$C$6:$D$30,MATCH(G307,'Pay Scales'!$C$6:$C$30,0),2)*(1+('Pay Scales'!$V$6*('Pay Scales'!$U$4=4)))*(1+('Pay Scales'!$D$2))</f>
        <v>#N/A</v>
      </c>
      <c r="I307" s="1641" t="e">
        <f t="shared" ca="1" si="12"/>
        <v>#N/A</v>
      </c>
      <c r="J307" s="1642"/>
      <c r="K307" t="s">
        <v>601</v>
      </c>
    </row>
    <row r="308" spans="1:11">
      <c r="A308" s="952">
        <v>276</v>
      </c>
      <c r="B308" s="1653"/>
      <c r="C308" s="1633" t="str">
        <f>'OPS-FTE'!D135</f>
        <v>RPMS Application Technician</v>
      </c>
      <c r="D308" s="1639">
        <f ca="1">'OPS-FTE'!M135</f>
        <v>0</v>
      </c>
      <c r="G308" s="1640" t="s">
        <v>509</v>
      </c>
      <c r="H308" s="1641" t="e">
        <f>INDEX('Pay Scales'!$C$6:$D$30,MATCH(G308,'Pay Scales'!$C$6:$C$30,0),2)*(1+('Pay Scales'!$V$6*('Pay Scales'!$U$4=4)))*(1+('Pay Scales'!$D$2))</f>
        <v>#N/A</v>
      </c>
      <c r="I308" s="1641" t="e">
        <f t="shared" ca="1" si="12"/>
        <v>#N/A</v>
      </c>
      <c r="J308" s="1642"/>
      <c r="K308" t="s">
        <v>601</v>
      </c>
    </row>
    <row r="309" spans="1:11" ht="16.5" thickBot="1">
      <c r="A309" s="952">
        <v>273</v>
      </c>
      <c r="B309" s="1653"/>
      <c r="C309" s="1633" t="str">
        <f>'OPS-FTE'!D136</f>
        <v>Clinical Applications Coordinator</v>
      </c>
      <c r="D309" s="1639">
        <f>'OPS-FTE'!M136</f>
        <v>0</v>
      </c>
      <c r="G309" s="1640" t="s">
        <v>509</v>
      </c>
      <c r="H309" s="1641" t="e">
        <f>INDEX('Pay Scales'!$C$6:$D$30,MATCH(G309,'Pay Scales'!$C$6:$C$30,0),2)*(1+('Pay Scales'!$V$6*('Pay Scales'!$U$4=4)))*(1+('Pay Scales'!$D$2))</f>
        <v>#N/A</v>
      </c>
      <c r="I309" s="1641" t="e">
        <f t="shared" si="12"/>
        <v>#N/A</v>
      </c>
      <c r="J309" s="1642"/>
      <c r="K309" t="s">
        <v>601</v>
      </c>
    </row>
    <row r="310" spans="1:11" ht="17.25" thickTop="1" thickBot="1">
      <c r="B310" s="1632"/>
      <c r="C310" s="1727" t="s">
        <v>88</v>
      </c>
      <c r="D310" s="1691">
        <f ca="1">SUM(D303:D309)</f>
        <v>0</v>
      </c>
      <c r="E310" s="1649"/>
      <c r="F310" s="1649"/>
      <c r="G310" s="1708"/>
      <c r="H310" s="1709"/>
      <c r="I310" s="1709"/>
      <c r="J310" s="1710" t="e">
        <f ca="1">SUM(I303:I309)</f>
        <v>#N/A</v>
      </c>
      <c r="K310"/>
    </row>
    <row r="311" spans="1:11" ht="16.5" thickTop="1">
      <c r="B311" s="1653" t="s">
        <v>337</v>
      </c>
      <c r="C311" s="1728"/>
      <c r="D311" s="1655"/>
      <c r="E311" s="1656"/>
      <c r="F311" s="1722"/>
      <c r="G311" s="1655"/>
      <c r="H311" s="1656"/>
      <c r="I311" s="1656"/>
      <c r="J311" s="1658"/>
      <c r="K311"/>
    </row>
    <row r="312" spans="1:11">
      <c r="A312" s="952">
        <v>211</v>
      </c>
      <c r="B312" s="1653"/>
      <c r="C312" s="1633" t="str">
        <f>'OPS-FTE'!D139</f>
        <v>Performance Improvement Staff</v>
      </c>
      <c r="D312" s="1639">
        <f>'OPS-FTE'!M139</f>
        <v>0</v>
      </c>
      <c r="G312" s="1640" t="s">
        <v>507</v>
      </c>
      <c r="H312" s="1641" t="e">
        <f>INDEX('Pay Scales'!$C$6:$D$30,MATCH(G312,'Pay Scales'!$C$6:$C$30,0),2)*(1+('Pay Scales'!$V$6*('Pay Scales'!$U$4=4)))*(1+('Pay Scales'!$D$2))</f>
        <v>#N/A</v>
      </c>
      <c r="I312" s="1641" t="e">
        <f>H312*D312</f>
        <v>#N/A</v>
      </c>
      <c r="J312" s="1642"/>
      <c r="K312" t="s">
        <v>601</v>
      </c>
    </row>
    <row r="313" spans="1:11" ht="16.5" thickBot="1">
      <c r="A313" s="952">
        <v>227</v>
      </c>
      <c r="B313" s="1653"/>
      <c r="C313" s="1633" t="str">
        <f>'OPS-FTE'!D141</f>
        <v>Clerical Support</v>
      </c>
      <c r="D313" s="1639">
        <f>'OPS-FTE'!M141</f>
        <v>0</v>
      </c>
      <c r="G313" s="1640" t="s">
        <v>517</v>
      </c>
      <c r="H313" s="1641" t="e">
        <f>INDEX('Pay Scales'!$C$6:$D$30,MATCH(G313,'Pay Scales'!$C$6:$C$30,0),2)*(1+('Pay Scales'!$V$6*('Pay Scales'!$U$4=4)))*(1+('Pay Scales'!$D$2))</f>
        <v>#N/A</v>
      </c>
      <c r="I313" s="1641" t="e">
        <f>H313*D313</f>
        <v>#N/A</v>
      </c>
      <c r="J313" s="1642"/>
      <c r="K313" t="s">
        <v>601</v>
      </c>
    </row>
    <row r="314" spans="1:11" ht="17.25" thickTop="1" thickBot="1">
      <c r="B314" s="1632"/>
      <c r="C314" s="1727" t="s">
        <v>88</v>
      </c>
      <c r="D314" s="1691">
        <f>SUM(D312:D313)</f>
        <v>0</v>
      </c>
      <c r="E314" s="1649"/>
      <c r="F314" s="1649"/>
      <c r="G314" s="1708"/>
      <c r="H314" s="1709"/>
      <c r="I314" s="1709"/>
      <c r="J314" s="1710" t="e">
        <f>SUM(I312:I313)</f>
        <v>#N/A</v>
      </c>
      <c r="K314"/>
    </row>
    <row r="315" spans="1:11" ht="16.5" thickTop="1">
      <c r="B315" s="1653" t="s">
        <v>661</v>
      </c>
      <c r="C315" s="1728"/>
      <c r="D315" s="1655"/>
      <c r="E315" s="1656"/>
      <c r="F315" s="1722"/>
      <c r="G315" s="1655"/>
      <c r="H315" s="1656"/>
      <c r="I315" s="1656"/>
      <c r="J315" s="1658"/>
      <c r="K315"/>
    </row>
    <row r="316" spans="1:11" ht="16.5" thickBot="1">
      <c r="A316" s="952">
        <v>427</v>
      </c>
      <c r="B316" s="1653"/>
      <c r="C316" s="1633" t="str">
        <f>'OPS-FTE'!D144</f>
        <v>Occupation Safety and Health Specialist</v>
      </c>
      <c r="D316" s="1639">
        <f ca="1">'OPS-FTE'!M149</f>
        <v>0</v>
      </c>
      <c r="G316" s="1640" t="s">
        <v>517</v>
      </c>
      <c r="H316" s="1641" t="e">
        <f>INDEX('Pay Scales'!$C$6:$D$30,MATCH(G316,'Pay Scales'!$C$6:$C$30,0),2)*(1+('Pay Scales'!$V$6*('Pay Scales'!$U$4=4)))*(1+('Pay Scales'!$D$2))</f>
        <v>#N/A</v>
      </c>
      <c r="I316" s="1641" t="e">
        <f ca="1">H316*D316</f>
        <v>#N/A</v>
      </c>
      <c r="J316" s="1642"/>
      <c r="K316" t="s">
        <v>601</v>
      </c>
    </row>
    <row r="317" spans="1:11" ht="17.25" thickTop="1" thickBot="1">
      <c r="B317" s="1632"/>
      <c r="C317" s="1727" t="s">
        <v>88</v>
      </c>
      <c r="D317" s="1691">
        <f ca="1">SUM(D316:D316)</f>
        <v>0</v>
      </c>
      <c r="E317" s="1649"/>
      <c r="F317" s="1649"/>
      <c r="G317" s="1708"/>
      <c r="H317" s="1709"/>
      <c r="I317" s="1709"/>
      <c r="J317" s="1710" t="e">
        <f ca="1">SUM(I316)</f>
        <v>#N/A</v>
      </c>
      <c r="K317"/>
    </row>
    <row r="318" spans="1:11" ht="16.5" thickTop="1">
      <c r="B318" s="1653" t="s">
        <v>339</v>
      </c>
      <c r="C318" s="1728"/>
      <c r="D318" s="1655"/>
      <c r="E318" s="1656"/>
      <c r="F318" s="1722"/>
      <c r="G318" s="1655"/>
      <c r="H318" s="1656"/>
      <c r="I318" s="1656"/>
      <c r="J318" s="1658"/>
      <c r="K318"/>
    </row>
    <row r="319" spans="1:11">
      <c r="A319" s="952">
        <v>68</v>
      </c>
      <c r="B319" s="1653"/>
      <c r="C319" s="1633" t="str">
        <f>'OPS-FTE'!D151</f>
        <v>Central Supply Staff</v>
      </c>
      <c r="D319" s="1639">
        <f>'OPS-FTE'!M151</f>
        <v>0</v>
      </c>
      <c r="F319" t="s">
        <v>995</v>
      </c>
      <c r="G319" s="1640" t="s">
        <v>507</v>
      </c>
      <c r="H319" s="1641" t="e">
        <f>INDEX('Pay Scales'!$C$6:$D$30,MATCH(G319,'Pay Scales'!$C$6:$C$30,0),2)*(1+('Pay Scales'!$V$6*('Pay Scales'!$U$4=4)))*(1+('Pay Scales'!$D$2))</f>
        <v>#N/A</v>
      </c>
      <c r="I319" s="1641" t="e">
        <f>H319*D319</f>
        <v>#N/A</v>
      </c>
      <c r="J319" s="1642"/>
      <c r="K319" t="s">
        <v>601</v>
      </c>
    </row>
    <row r="320" spans="1:11" ht="16.5" thickBot="1">
      <c r="A320" s="952">
        <v>69</v>
      </c>
      <c r="B320" s="1653"/>
      <c r="C320" s="1633" t="str">
        <f>'OPS-FTE'!D152</f>
        <v>Medical Technician</v>
      </c>
      <c r="D320" s="1639">
        <f>'OPS-FTE'!M152</f>
        <v>0</v>
      </c>
      <c r="F320" t="s">
        <v>995</v>
      </c>
      <c r="G320" s="1640" t="s">
        <v>518</v>
      </c>
      <c r="H320" s="1641" t="e">
        <f>INDEX('Pay Scales'!$C$6:$D$30,MATCH(G320,'Pay Scales'!$C$6:$C$30,0),2)*(1+('Pay Scales'!$V$6*('Pay Scales'!$U$4=4)))*(1+('Pay Scales'!$D$2))</f>
        <v>#N/A</v>
      </c>
      <c r="I320" s="1641" t="e">
        <f>H320*D320</f>
        <v>#N/A</v>
      </c>
      <c r="J320" s="1642"/>
      <c r="K320" t="s">
        <v>601</v>
      </c>
    </row>
    <row r="321" spans="1:11" ht="17.25" thickTop="1" thickBot="1">
      <c r="B321" s="1632"/>
      <c r="C321" s="1727" t="s">
        <v>88</v>
      </c>
      <c r="D321" s="1691">
        <f>SUM(D319:D320)</f>
        <v>0</v>
      </c>
      <c r="E321" s="1649"/>
      <c r="F321" s="1649"/>
      <c r="G321" s="1708"/>
      <c r="H321" s="1709"/>
      <c r="I321" s="1709"/>
      <c r="J321" s="1710" t="e">
        <f>SUM(I319:I320)</f>
        <v>#N/A</v>
      </c>
      <c r="K321"/>
    </row>
    <row r="322" spans="1:11" ht="16.5" thickTop="1">
      <c r="B322" s="1653" t="s">
        <v>343</v>
      </c>
      <c r="C322" s="1728"/>
      <c r="D322" s="1655"/>
      <c r="E322" s="1656"/>
      <c r="F322" s="1722"/>
      <c r="G322" s="1655"/>
      <c r="H322" s="1656"/>
      <c r="I322" s="1656"/>
      <c r="J322" s="1658"/>
      <c r="K322"/>
    </row>
    <row r="323" spans="1:11" ht="16.5" thickBot="1">
      <c r="A323" s="952">
        <v>426</v>
      </c>
      <c r="B323" s="1653"/>
      <c r="C323" s="1661" t="str">
        <f>'OPS-FTE'!D155</f>
        <v>Interpreter</v>
      </c>
      <c r="D323" s="1643">
        <f>'OPS-FTE'!M155</f>
        <v>0</v>
      </c>
      <c r="G323" s="1640" t="s">
        <v>517</v>
      </c>
      <c r="H323" s="1641" t="e">
        <f>INDEX('Pay Scales'!$C$6:$D$30,MATCH(G323,'Pay Scales'!$C$6:$C$30,0),2)*(1+('Pay Scales'!$V$6*('Pay Scales'!$U$4=4)))*(1+('Pay Scales'!$D$2))</f>
        <v>#N/A</v>
      </c>
      <c r="I323" s="1641" t="e">
        <f>H323*D323</f>
        <v>#N/A</v>
      </c>
      <c r="J323" s="1642"/>
      <c r="K323" t="s">
        <v>601</v>
      </c>
    </row>
    <row r="324" spans="1:11" ht="17.25" thickTop="1" thickBot="1">
      <c r="B324" s="1632"/>
      <c r="C324" s="1727" t="s">
        <v>88</v>
      </c>
      <c r="D324" s="1691">
        <f>SUM(D323:D323)</f>
        <v>0</v>
      </c>
      <c r="E324" s="1649"/>
      <c r="F324" s="1649"/>
      <c r="G324" s="1708"/>
      <c r="H324" s="1709"/>
      <c r="I324" s="1709"/>
      <c r="J324" s="1710" t="e">
        <f>SUM(I323)</f>
        <v>#N/A</v>
      </c>
    </row>
    <row r="325" spans="1:11" ht="16.5" thickTop="1">
      <c r="B325" s="1653" t="s">
        <v>344</v>
      </c>
      <c r="C325" s="1728"/>
      <c r="D325" s="1655"/>
      <c r="E325" s="1656"/>
      <c r="F325" s="1722"/>
      <c r="G325" s="1655"/>
      <c r="H325" s="1656"/>
      <c r="I325" s="1656"/>
      <c r="J325" s="1658"/>
      <c r="K325"/>
    </row>
    <row r="326" spans="1:11" ht="16.5" thickBot="1">
      <c r="A326" s="952">
        <v>428</v>
      </c>
      <c r="B326" s="1653"/>
      <c r="C326" s="1661" t="str">
        <f>'OPS-FTE'!D158</f>
        <v>Driver</v>
      </c>
      <c r="D326" s="1643">
        <f ca="1">'OPS-FTE'!M158</f>
        <v>0</v>
      </c>
      <c r="G326" s="1640" t="s">
        <v>515</v>
      </c>
      <c r="H326" s="1641" t="e">
        <f>INDEX('Pay Scales'!$C$6:$D$30,MATCH(G326,'Pay Scales'!$C$6:$C$30,0),2)*(1+('Pay Scales'!$V$6*('Pay Scales'!$U$4=4)))*(1+('Pay Scales'!$D$2))</f>
        <v>#N/A</v>
      </c>
      <c r="I326" s="1641" t="e">
        <f ca="1">H326*D326</f>
        <v>#N/A</v>
      </c>
      <c r="J326" s="1642"/>
      <c r="K326" t="s">
        <v>601</v>
      </c>
    </row>
    <row r="327" spans="1:11" ht="17.25" thickTop="1" thickBot="1">
      <c r="B327" s="1632"/>
      <c r="C327" s="1727" t="s">
        <v>88</v>
      </c>
      <c r="D327" s="1691">
        <f ca="1">SUM(D326:D326)</f>
        <v>0</v>
      </c>
      <c r="E327" s="1649"/>
      <c r="F327" s="1649"/>
      <c r="G327" s="1708"/>
      <c r="H327" s="1709"/>
      <c r="I327" s="1709"/>
      <c r="J327" s="1710" t="e">
        <f ca="1">SUM(I326)</f>
        <v>#N/A</v>
      </c>
    </row>
    <row r="328" spans="1:11" ht="16.5" thickTop="1">
      <c r="B328" s="1653" t="s">
        <v>715</v>
      </c>
      <c r="C328" s="1728"/>
      <c r="D328" s="1655"/>
      <c r="E328" s="1656"/>
      <c r="F328" s="1722"/>
      <c r="G328" s="1655"/>
      <c r="H328" s="1656"/>
      <c r="I328" s="1656"/>
      <c r="J328" s="1658"/>
      <c r="K328"/>
    </row>
    <row r="329" spans="1:11">
      <c r="B329" s="1653"/>
      <c r="C329" s="1633" t="str">
        <f>'OPS-FTE'!D161</f>
        <v>Admin_Adjustment 1</v>
      </c>
      <c r="D329" s="1639">
        <f>'OPS-FTE'!M161</f>
        <v>0</v>
      </c>
      <c r="G329" s="1640" t="s">
        <v>430</v>
      </c>
      <c r="H329" s="1641" t="e">
        <f>INDEX('Pay Scales'!$C$5:$D$30,MATCH(G329,'Pay Scales'!$C$5:$C$30,0),2)*(1+('Pay Scales'!$V$6*('Pay Scales'!$U$4=4)))*(1+('Pay Scales'!$D$2))</f>
        <v>#N/A</v>
      </c>
      <c r="I329" s="1641" t="e">
        <f>H329*D329</f>
        <v>#N/A</v>
      </c>
      <c r="J329" s="1642"/>
      <c r="K329" t="s">
        <v>601</v>
      </c>
    </row>
    <row r="330" spans="1:11">
      <c r="B330" s="1653"/>
      <c r="C330" s="1633" t="str">
        <f>'OPS-FTE'!D162</f>
        <v>Admin_Adjustment 2</v>
      </c>
      <c r="D330" s="1639">
        <f>'OPS-FTE'!M162</f>
        <v>0</v>
      </c>
      <c r="G330" s="1640" t="s">
        <v>430</v>
      </c>
      <c r="H330" s="1641" t="e">
        <f>INDEX('Pay Scales'!$C$5:$D$30,MATCH(G330,'Pay Scales'!$C$5:$C$30,0),2)*(1+('Pay Scales'!$V$6*('Pay Scales'!$U$4=4)))*(1+('Pay Scales'!$D$2))</f>
        <v>#N/A</v>
      </c>
      <c r="I330" s="1641" t="e">
        <f>H330*D330</f>
        <v>#N/A</v>
      </c>
      <c r="J330" s="1642"/>
      <c r="K330" t="s">
        <v>601</v>
      </c>
    </row>
    <row r="331" spans="1:11" ht="15.75" customHeight="1">
      <c r="B331" s="1653"/>
      <c r="C331" s="1633" t="str">
        <f>'OPS-FTE'!D163</f>
        <v>Admin_Adjustment 3</v>
      </c>
      <c r="D331" s="1639">
        <f>'OPS-FTE'!M163</f>
        <v>0</v>
      </c>
      <c r="G331" s="1640" t="s">
        <v>430</v>
      </c>
      <c r="H331" s="1641" t="e">
        <f>INDEX('Pay Scales'!$C$5:$D$30,MATCH(G331,'Pay Scales'!$C$5:$C$30,0),2)*(1+('Pay Scales'!$V$6*('Pay Scales'!$U$4=4)))*(1+('Pay Scales'!$D$2))</f>
        <v>#N/A</v>
      </c>
      <c r="I331" s="1641" t="e">
        <f>H331*D331</f>
        <v>#N/A</v>
      </c>
      <c r="J331" s="1642"/>
      <c r="K331" t="s">
        <v>601</v>
      </c>
    </row>
    <row r="332" spans="1:11" ht="16.5" thickBot="1">
      <c r="B332" s="1632"/>
      <c r="C332" s="1633" t="str">
        <f>'OPS-FTE'!D164</f>
        <v>Admin_Adjustment 4</v>
      </c>
      <c r="D332" s="1639">
        <f>'OPS-FTE'!M164</f>
        <v>0</v>
      </c>
      <c r="G332" s="1640" t="s">
        <v>430</v>
      </c>
      <c r="H332" s="1641" t="e">
        <f>INDEX('Pay Scales'!$C$5:$D$30,MATCH(G332,'Pay Scales'!$C$5:$C$30,0),2)*(1+('Pay Scales'!$V$6*('Pay Scales'!$U$4=4)))*(1+('Pay Scales'!$D$2))</f>
        <v>#N/A</v>
      </c>
      <c r="I332" s="1641" t="e">
        <f>H332*D332</f>
        <v>#N/A</v>
      </c>
      <c r="J332" s="1642"/>
      <c r="K332" t="s">
        <v>601</v>
      </c>
    </row>
    <row r="333" spans="1:11" ht="16.5" thickTop="1">
      <c r="B333" s="1632"/>
      <c r="C333" s="1729" t="s">
        <v>88</v>
      </c>
      <c r="D333" s="1691">
        <f>SUM(D329:D332)</f>
        <v>0</v>
      </c>
      <c r="E333" s="1649"/>
      <c r="F333" s="1649"/>
      <c r="G333" s="1708"/>
      <c r="H333" s="1709"/>
      <c r="I333" s="1709"/>
      <c r="J333" s="1710" t="e">
        <f>SUM(I329:I332)</f>
        <v>#N/A</v>
      </c>
      <c r="K333"/>
    </row>
    <row r="334" spans="1:11" ht="19.5" thickBot="1">
      <c r="B334" s="1667" t="s">
        <v>996</v>
      </c>
      <c r="C334" s="1668"/>
      <c r="D334" s="1730">
        <f ca="1">D333+D327+D324+D321+D317+D314+D310+D301+D298+D291+D285+D281+D274</f>
        <v>0</v>
      </c>
      <c r="E334" s="1670"/>
      <c r="F334" s="1670"/>
      <c r="G334" s="1671"/>
      <c r="H334" s="1672"/>
      <c r="I334" s="1672"/>
      <c r="J334" s="1673"/>
      <c r="K334"/>
    </row>
    <row r="335" spans="1:11" ht="16.5" thickTop="1">
      <c r="B335" s="1960" t="s">
        <v>997</v>
      </c>
      <c r="C335" s="1961"/>
      <c r="D335" s="1620"/>
      <c r="E335" s="1621"/>
      <c r="F335" s="1621"/>
      <c r="G335" s="1622"/>
      <c r="H335" s="1621"/>
      <c r="I335" s="1621"/>
      <c r="J335" s="1623"/>
      <c r="K335"/>
    </row>
    <row r="336" spans="1:11" ht="16.5" thickBot="1">
      <c r="B336" s="1653" t="s">
        <v>291</v>
      </c>
      <c r="C336" s="1674"/>
      <c r="D336" s="1627"/>
      <c r="E336" s="1628"/>
      <c r="F336" s="1628"/>
      <c r="G336" s="1629"/>
      <c r="H336" s="1628"/>
      <c r="I336" s="1628"/>
      <c r="J336" s="1630"/>
      <c r="K336"/>
    </row>
    <row r="337" spans="1:11">
      <c r="A337" s="952">
        <v>70</v>
      </c>
      <c r="B337" s="1653"/>
      <c r="C337" s="1633" t="str">
        <f>'OPS-FTE'!D12</f>
        <v>Janitor/Housekeeper</v>
      </c>
      <c r="D337" s="1639">
        <f>'OPS-FTE'!M12+'OPS-FTE'!N12</f>
        <v>0</v>
      </c>
      <c r="F337" t="s">
        <v>998</v>
      </c>
      <c r="G337" s="1640" t="s">
        <v>999</v>
      </c>
      <c r="H337" s="1641" t="e">
        <f>'Pay Scales'!$H$17*(1+('Pay Scales'!$V$6*('Pay Scales'!$U$4=4)))*(1+('Pay Scales'!$D$2))</f>
        <v>#N/A</v>
      </c>
      <c r="I337" s="1641" t="e">
        <f>H337*D337</f>
        <v>#N/A</v>
      </c>
      <c r="J337" s="1642"/>
      <c r="K337" t="s">
        <v>601</v>
      </c>
    </row>
    <row r="338" spans="1:11">
      <c r="A338" s="952">
        <v>269</v>
      </c>
      <c r="B338" s="1653"/>
      <c r="C338" s="1633" t="str">
        <f>'OPS-FTE'!D15</f>
        <v>Housekeeping Clerk</v>
      </c>
      <c r="D338" s="1639">
        <f>'OPS-FTE'!M15</f>
        <v>0</v>
      </c>
      <c r="F338" t="s">
        <v>998</v>
      </c>
      <c r="G338" s="1640" t="s">
        <v>999</v>
      </c>
      <c r="H338" s="1641" t="e">
        <f>'Pay Scales'!$H$17*(1+('Pay Scales'!$V$6*('Pay Scales'!$U$4=4)))*(1+('Pay Scales'!$D$2))</f>
        <v>#N/A</v>
      </c>
      <c r="I338" s="1641" t="e">
        <f>H338*D338</f>
        <v>#N/A</v>
      </c>
      <c r="J338" s="1642"/>
      <c r="K338" t="s">
        <v>601</v>
      </c>
    </row>
    <row r="339" spans="1:11" ht="16.5" thickBot="1">
      <c r="A339" s="952">
        <v>270</v>
      </c>
      <c r="B339" s="1653"/>
      <c r="C339" s="1633" t="str">
        <f>'OPS-FTE'!D16</f>
        <v>Housekeeping Supervisor</v>
      </c>
      <c r="D339" s="1643">
        <f>'OPS-FTE'!M16</f>
        <v>0</v>
      </c>
      <c r="F339" t="s">
        <v>998</v>
      </c>
      <c r="G339" s="1640" t="s">
        <v>999</v>
      </c>
      <c r="H339" s="1641" t="e">
        <f>'Pay Scales'!$H$17*(1+('Pay Scales'!$V$6*('Pay Scales'!$U$4=4)))*(1+('Pay Scales'!$D$2))</f>
        <v>#N/A</v>
      </c>
      <c r="I339" s="1641" t="e">
        <f>H339*D339</f>
        <v>#N/A</v>
      </c>
      <c r="J339" s="1642"/>
      <c r="K339" t="s">
        <v>601</v>
      </c>
    </row>
    <row r="340" spans="1:11" ht="17.25" thickTop="1" thickBot="1">
      <c r="B340" s="1632"/>
      <c r="C340" s="1717" t="s">
        <v>88</v>
      </c>
      <c r="D340" s="1691">
        <f>SUM(D337:D339)</f>
        <v>0</v>
      </c>
      <c r="E340" s="1649"/>
      <c r="F340" s="1649"/>
      <c r="G340" s="1708"/>
      <c r="H340" s="1709"/>
      <c r="I340" s="1709"/>
      <c r="J340" s="1710" t="e">
        <f>SUM(I337:I339)</f>
        <v>#N/A</v>
      </c>
      <c r="K340"/>
    </row>
    <row r="341" spans="1:11" ht="16.5" thickTop="1">
      <c r="B341" s="1653" t="s">
        <v>294</v>
      </c>
      <c r="C341" s="1654"/>
      <c r="D341" s="1655"/>
      <c r="E341" s="1656"/>
      <c r="F341" s="1722"/>
      <c r="G341" s="1655"/>
      <c r="H341" s="1656"/>
      <c r="I341" s="1656"/>
      <c r="J341" s="1658"/>
      <c r="K341"/>
    </row>
    <row r="342" spans="1:11" ht="16.5" thickBot="1">
      <c r="A342" s="952">
        <v>71</v>
      </c>
      <c r="B342" s="1653"/>
      <c r="C342" s="1661" t="str">
        <f>'OPS-FTE'!D19</f>
        <v>Maintenance Staff</v>
      </c>
      <c r="D342" s="1643">
        <f>'OPS-FTE'!M22</f>
        <v>0</v>
      </c>
      <c r="F342" t="s">
        <v>1000</v>
      </c>
      <c r="G342" s="1640" t="s">
        <v>999</v>
      </c>
      <c r="H342" s="1641" t="e">
        <f>'Pay Scales'!$H$19*(1+('Pay Scales'!$V$6*('Pay Scales'!$U$4=4)))*(1+('Pay Scales'!$D$2))</f>
        <v>#N/A</v>
      </c>
      <c r="I342" s="1641" t="e">
        <f>H342*D342</f>
        <v>#N/A</v>
      </c>
      <c r="J342" s="1642"/>
      <c r="K342" t="s">
        <v>492</v>
      </c>
    </row>
    <row r="343" spans="1:11" ht="17.25" thickTop="1" thickBot="1">
      <c r="B343" s="1632"/>
      <c r="C343" s="1717" t="s">
        <v>88</v>
      </c>
      <c r="D343" s="1691">
        <f>SUM(D342:D342)</f>
        <v>0</v>
      </c>
      <c r="E343" s="1649"/>
      <c r="F343" s="1649"/>
      <c r="G343" s="1708"/>
      <c r="H343" s="1709"/>
      <c r="I343" s="1709"/>
      <c r="J343" s="1710" t="e">
        <f>SUM(I342)</f>
        <v>#N/A</v>
      </c>
    </row>
    <row r="344" spans="1:11" ht="16.5" thickTop="1">
      <c r="B344" s="1653" t="s">
        <v>300</v>
      </c>
      <c r="C344" s="1654"/>
      <c r="D344" s="1655"/>
      <c r="E344" s="1656"/>
      <c r="F344" s="1722"/>
      <c r="G344" s="1655"/>
      <c r="H344" s="1656"/>
      <c r="I344" s="1656"/>
      <c r="J344" s="1658"/>
      <c r="K344"/>
    </row>
    <row r="345" spans="1:11">
      <c r="A345" s="952">
        <v>72</v>
      </c>
      <c r="B345" s="1653"/>
      <c r="C345" s="1674" t="str">
        <f>'OPS-FTE'!D24</f>
        <v>Clinical Engineering Staff</v>
      </c>
      <c r="D345" s="1639">
        <f>'OPS-FTE'!M24</f>
        <v>0</v>
      </c>
      <c r="F345" s="1066" t="s">
        <v>1001</v>
      </c>
      <c r="G345" s="1640" t="s">
        <v>509</v>
      </c>
      <c r="H345" s="1641" t="e">
        <f>INDEX('Pay Scales'!$C$6:$D$30,MATCH(G345,'Pay Scales'!$C$6:$C$30,0),2)*(1+('Pay Scales'!$V$6*('Pay Scales'!$U$4=4)))*(1+('Pay Scales'!$D$2))</f>
        <v>#N/A</v>
      </c>
      <c r="I345" s="1641" t="e">
        <f>H345*D345</f>
        <v>#N/A</v>
      </c>
      <c r="J345" s="1700"/>
      <c r="K345" t="s">
        <v>603</v>
      </c>
    </row>
    <row r="346" spans="1:11">
      <c r="A346" s="952">
        <v>422</v>
      </c>
      <c r="B346" s="1653"/>
      <c r="C346" s="1674" t="str">
        <f>'OPS-FTE'!D25</f>
        <v>Clerical Support</v>
      </c>
      <c r="D346" s="1639">
        <f>'OPS-FTE'!M30</f>
        <v>0</v>
      </c>
      <c r="F346" s="1066" t="s">
        <v>1001</v>
      </c>
      <c r="G346" s="1640" t="s">
        <v>519</v>
      </c>
      <c r="H346" s="1641" t="e">
        <f>INDEX('Pay Scales'!$C$6:$D$30,MATCH(G346,'Pay Scales'!$C$6:$C$30,0),2)*(1+('Pay Scales'!$V$6*('Pay Scales'!$U$4=4)))*(1+('Pay Scales'!$D$2))</f>
        <v>#N/A</v>
      </c>
      <c r="I346" s="1641" t="e">
        <f>H346*D346</f>
        <v>#N/A</v>
      </c>
      <c r="J346" s="1700"/>
      <c r="K346" t="s">
        <v>603</v>
      </c>
    </row>
    <row r="347" spans="1:11">
      <c r="A347" s="952">
        <v>423</v>
      </c>
      <c r="B347" s="1653"/>
      <c r="C347" s="1674" t="str">
        <f>'OPS-FTE'!D26</f>
        <v>Clinical Engineer</v>
      </c>
      <c r="D347" s="1639">
        <f>SUM('OPS-FTE'!M26:M28)</f>
        <v>0</v>
      </c>
      <c r="F347" s="1066" t="s">
        <v>1001</v>
      </c>
      <c r="G347" s="1640" t="s">
        <v>510</v>
      </c>
      <c r="H347" s="1641" t="e">
        <f>INDEX('Pay Scales'!$C$6:$D$30,MATCH(G347,'Pay Scales'!$C$6:$C$30,0),2)*(1+('Pay Scales'!$V$6*('Pay Scales'!$U$4=4)))*(1+('Pay Scales'!$D$2))</f>
        <v>#N/A</v>
      </c>
      <c r="I347" s="1641" t="e">
        <f>H347*D347</f>
        <v>#N/A</v>
      </c>
      <c r="J347" s="1700"/>
      <c r="K347" t="s">
        <v>603</v>
      </c>
    </row>
    <row r="348" spans="1:11" ht="16.5" thickBot="1">
      <c r="A348" s="952">
        <v>424</v>
      </c>
      <c r="B348" s="1653"/>
      <c r="C348" s="1674" t="str">
        <f>'OPS-FTE'!D29</f>
        <v>Clinical Engineer Technician</v>
      </c>
      <c r="D348" s="1643">
        <f>SUM('OPS-FTE'!M29:M31)</f>
        <v>0</v>
      </c>
      <c r="F348" s="1066" t="s">
        <v>1001</v>
      </c>
      <c r="G348" s="1640" t="s">
        <v>520</v>
      </c>
      <c r="H348" s="1641" t="e">
        <f>INDEX('Pay Scales'!$C$6:$D$30,MATCH(G348,'Pay Scales'!$C$6:$C$30,0),2)*(1+('Pay Scales'!$V$6*('Pay Scales'!$U$4=4)))*(1+('Pay Scales'!$D$2))</f>
        <v>#N/A</v>
      </c>
      <c r="I348" s="1641" t="e">
        <f>H348*D348</f>
        <v>#N/A</v>
      </c>
      <c r="J348" s="1700"/>
      <c r="K348" t="s">
        <v>603</v>
      </c>
    </row>
    <row r="349" spans="1:11" ht="17.25" thickTop="1" thickBot="1">
      <c r="A349" s="1731"/>
      <c r="B349" s="1632"/>
      <c r="C349" s="1717" t="s">
        <v>88</v>
      </c>
      <c r="D349" s="1732">
        <f>SUM(D345:D348)</f>
        <v>0</v>
      </c>
      <c r="E349" s="1649"/>
      <c r="F349" s="1649"/>
      <c r="G349" s="1708"/>
      <c r="H349" s="1709"/>
      <c r="I349" s="1709"/>
      <c r="J349" s="1710" t="e">
        <f>SUM(I345:I348)</f>
        <v>#N/A</v>
      </c>
      <c r="K349"/>
    </row>
    <row r="350" spans="1:11" ht="16.5" thickTop="1">
      <c r="B350" s="1653" t="s">
        <v>1002</v>
      </c>
      <c r="C350" s="1654"/>
      <c r="D350" s="1655"/>
      <c r="E350" s="1656"/>
      <c r="F350" s="1722"/>
      <c r="G350" s="1655"/>
      <c r="H350" s="1656"/>
      <c r="I350" s="1656"/>
      <c r="J350" s="1658"/>
      <c r="K350"/>
    </row>
    <row r="351" spans="1:11" ht="16.5" thickBot="1">
      <c r="A351" s="952">
        <v>73</v>
      </c>
      <c r="B351" s="1653"/>
      <c r="C351" s="1633" t="str">
        <f>'OPS-FTE'!D34</f>
        <v>Laundry staff</v>
      </c>
      <c r="D351" s="1643">
        <f>'OPS-FTE'!M34</f>
        <v>0</v>
      </c>
      <c r="F351" t="s">
        <v>998</v>
      </c>
      <c r="G351" s="1640" t="s">
        <v>515</v>
      </c>
      <c r="H351" s="1641" t="e">
        <f>INDEX('Pay Scales'!$C$6:$D$30,MATCH(G351,'Pay Scales'!$C$6:$C$30,0),2)*(1+('Pay Scales'!$V$6*('Pay Scales'!$U$4=4)))*(1+('Pay Scales'!$D$2))</f>
        <v>#N/A</v>
      </c>
      <c r="I351" s="1641" t="e">
        <f>H351*D351</f>
        <v>#N/A</v>
      </c>
      <c r="J351" s="1642"/>
      <c r="K351" t="s">
        <v>601</v>
      </c>
    </row>
    <row r="352" spans="1:11" ht="17.25" thickTop="1" thickBot="1">
      <c r="B352" s="1632"/>
      <c r="C352" s="1717" t="s">
        <v>88</v>
      </c>
      <c r="D352" s="1732">
        <f>SUM(D351)</f>
        <v>0</v>
      </c>
      <c r="E352" s="1649"/>
      <c r="F352" s="1649"/>
      <c r="G352" s="1708"/>
      <c r="H352" s="1709"/>
      <c r="I352" s="1709"/>
      <c r="J352" s="1710" t="e">
        <f>SUM(I351)</f>
        <v>#N/A</v>
      </c>
    </row>
    <row r="353" spans="1:11" ht="16.5" thickTop="1">
      <c r="B353" s="1653" t="s">
        <v>1003</v>
      </c>
      <c r="D353" s="1655"/>
      <c r="E353" s="1656"/>
      <c r="F353" s="1722"/>
      <c r="G353" s="1655"/>
      <c r="H353" s="1656"/>
      <c r="I353" s="1656"/>
      <c r="J353" s="1658"/>
      <c r="K353"/>
    </row>
    <row r="354" spans="1:11">
      <c r="A354" s="952">
        <v>195</v>
      </c>
      <c r="B354" s="1632"/>
      <c r="C354" s="1633" t="str">
        <f>'OPS-FTE'!D37</f>
        <v>Dietician Director</v>
      </c>
      <c r="D354" s="1639">
        <f>'OPS-FTE'!M37</f>
        <v>0</v>
      </c>
      <c r="F354" t="s">
        <v>1004</v>
      </c>
      <c r="G354" s="1640" t="s">
        <v>510</v>
      </c>
      <c r="H354" s="1641" t="e">
        <f>INDEX('Pay Scales'!$C$6:$D$30,MATCH(G354,'Pay Scales'!$C$6:$C$30,0),2)*(1+('Pay Scales'!$V$6*('Pay Scales'!$U$4=4)))*(1+('Pay Scales'!$D$2))</f>
        <v>#N/A</v>
      </c>
      <c r="I354" s="1641" t="e">
        <f t="shared" ref="I354:I360" si="13">H354*D354</f>
        <v>#N/A</v>
      </c>
      <c r="J354" s="1642"/>
      <c r="K354" t="s">
        <v>601</v>
      </c>
    </row>
    <row r="355" spans="1:11">
      <c r="A355" s="952">
        <v>193</v>
      </c>
      <c r="B355" s="1632"/>
      <c r="C355" s="1633" t="str">
        <f>'OPS-FTE'!D38</f>
        <v>Dietetic Staff/Food Service Manager</v>
      </c>
      <c r="D355" s="1639">
        <f>'OPS-FTE'!M38</f>
        <v>0</v>
      </c>
      <c r="F355" t="s">
        <v>1004</v>
      </c>
      <c r="G355" s="1640" t="s">
        <v>642</v>
      </c>
      <c r="H355" s="1641" t="e">
        <f>INDEX('Pay Scales'!$G$25:$H$27,MATCH(G355,'Pay Scales'!$G$25:$G$27,0),2)*(1+('Pay Scales'!$V$6*('Pay Scales'!$U$4=4)))*(1+('Pay Scales'!$D$2))</f>
        <v>#N/A</v>
      </c>
      <c r="I355" s="1641" t="e">
        <f t="shared" si="13"/>
        <v>#N/A</v>
      </c>
      <c r="J355" s="1642"/>
      <c r="K355" t="s">
        <v>601</v>
      </c>
    </row>
    <row r="356" spans="1:11">
      <c r="A356" s="952">
        <v>192</v>
      </c>
      <c r="B356" s="1632"/>
      <c r="C356" s="1633" t="str">
        <f>'OPS-FTE'!D39</f>
        <v>Cook</v>
      </c>
      <c r="D356" s="1639">
        <f>'OPS-FTE'!M39</f>
        <v>0</v>
      </c>
      <c r="F356" t="s">
        <v>1004</v>
      </c>
      <c r="G356" s="1640" t="s">
        <v>641</v>
      </c>
      <c r="H356" s="1641" t="e">
        <f>INDEX('Pay Scales'!$G$25:$H$27,MATCH(G356,'Pay Scales'!$G$25:$G$27,0),2)*(1+('Pay Scales'!$V$6*('Pay Scales'!$U$4=4)))*(1+('Pay Scales'!$D$2))</f>
        <v>#N/A</v>
      </c>
      <c r="I356" s="1641" t="e">
        <f t="shared" si="13"/>
        <v>#N/A</v>
      </c>
      <c r="J356" s="1642"/>
      <c r="K356" t="s">
        <v>601</v>
      </c>
    </row>
    <row r="357" spans="1:11">
      <c r="A357" s="952">
        <v>197</v>
      </c>
      <c r="B357" s="1632"/>
      <c r="C357" s="1633" t="str">
        <f>'OPS-FTE'!D40</f>
        <v>Food Service Worker</v>
      </c>
      <c r="D357" s="1639">
        <f>'OPS-FTE'!M40</f>
        <v>0</v>
      </c>
      <c r="F357" t="s">
        <v>1004</v>
      </c>
      <c r="G357" s="1640" t="s">
        <v>640</v>
      </c>
      <c r="H357" s="1641" t="e">
        <f>INDEX('Pay Scales'!$G$25:$H$27,MATCH(G357,'Pay Scales'!$G$25:$G$27,0),2)*(1+('Pay Scales'!$V$6*('Pay Scales'!$U$4=4)))*(1+('Pay Scales'!$D$2))</f>
        <v>#N/A</v>
      </c>
      <c r="I357" s="1641" t="e">
        <f t="shared" si="13"/>
        <v>#N/A</v>
      </c>
      <c r="J357" s="1642"/>
      <c r="K357" t="s">
        <v>601</v>
      </c>
    </row>
    <row r="358" spans="1:11">
      <c r="A358" s="952">
        <v>196</v>
      </c>
      <c r="B358" s="1632"/>
      <c r="C358" s="1633" t="str">
        <f>'OPS-FTE'!D41</f>
        <v>Food Service Clerical</v>
      </c>
      <c r="D358" s="1639">
        <f>'OPS-FTE'!M41</f>
        <v>0</v>
      </c>
      <c r="F358" t="s">
        <v>1004</v>
      </c>
      <c r="G358" s="1640" t="s">
        <v>517</v>
      </c>
      <c r="H358" s="1641" t="e">
        <f>INDEX('Pay Scales'!$C$6:$D$30,MATCH(G358,'Pay Scales'!$C$6:$C$30,0),2)*(1+('Pay Scales'!$V$6*('Pay Scales'!$U$4=4)))*(1+('Pay Scales'!$D$2))</f>
        <v>#N/A</v>
      </c>
      <c r="I358" s="1641" t="e">
        <f t="shared" si="13"/>
        <v>#N/A</v>
      </c>
      <c r="J358" s="1642"/>
      <c r="K358" t="s">
        <v>601</v>
      </c>
    </row>
    <row r="359" spans="1:11">
      <c r="A359" s="952">
        <v>191</v>
      </c>
      <c r="B359" s="1632"/>
      <c r="C359" s="1633" t="str">
        <f>'OPS-FTE'!D42</f>
        <v>Clinical Registered Dietician</v>
      </c>
      <c r="D359" s="1639">
        <f>'OPS-FTE'!M42</f>
        <v>0</v>
      </c>
      <c r="F359" t="s">
        <v>1004</v>
      </c>
      <c r="G359" s="1640" t="s">
        <v>509</v>
      </c>
      <c r="H359" s="1641" t="e">
        <f>INDEX('Pay Scales'!$C$6:$D$30,MATCH(G359,'Pay Scales'!$C$6:$C$30,0),2)*(1+('Pay Scales'!$V$6*('Pay Scales'!$U$4=4)))*(1+('Pay Scales'!$D$2))</f>
        <v>#N/A</v>
      </c>
      <c r="I359" s="1641" t="e">
        <f t="shared" si="13"/>
        <v>#N/A</v>
      </c>
      <c r="J359" s="1642"/>
      <c r="K359" t="s">
        <v>601</v>
      </c>
    </row>
    <row r="360" spans="1:11" ht="16.5" thickBot="1">
      <c r="A360" s="952">
        <v>194</v>
      </c>
      <c r="B360" s="1632"/>
      <c r="C360" s="1633" t="str">
        <f>'OPS-FTE'!D43</f>
        <v>Dietetic Technician</v>
      </c>
      <c r="D360" s="1643">
        <f>'OPS-FTE'!M43</f>
        <v>0</v>
      </c>
      <c r="F360" t="s">
        <v>1004</v>
      </c>
      <c r="G360" s="1640" t="s">
        <v>517</v>
      </c>
      <c r="H360" s="1641" t="e">
        <f>INDEX('Pay Scales'!$C$6:$D$30,MATCH(G360,'Pay Scales'!$C$6:$C$30,0),2)*(1+('Pay Scales'!$V$6*('Pay Scales'!$U$4=4)))*(1+('Pay Scales'!$D$2))</f>
        <v>#N/A</v>
      </c>
      <c r="I360" s="1641" t="e">
        <f t="shared" si="13"/>
        <v>#N/A</v>
      </c>
      <c r="J360" s="1642"/>
      <c r="K360" t="s">
        <v>601</v>
      </c>
    </row>
    <row r="361" spans="1:11" ht="17.25" thickTop="1" thickBot="1">
      <c r="B361" s="1632"/>
      <c r="C361" s="1717" t="s">
        <v>88</v>
      </c>
      <c r="D361" s="1732">
        <f>SUM(D354:D360)</f>
        <v>0</v>
      </c>
      <c r="E361" s="1649"/>
      <c r="F361" s="1649"/>
      <c r="G361" s="1708"/>
      <c r="H361" s="1709"/>
      <c r="I361" s="1709"/>
      <c r="J361" s="1710" t="e">
        <f>SUM(I354:I360)</f>
        <v>#N/A</v>
      </c>
      <c r="K361"/>
    </row>
    <row r="362" spans="1:11" ht="16.5" thickTop="1">
      <c r="B362" s="1653" t="s">
        <v>614</v>
      </c>
      <c r="D362" s="1655"/>
      <c r="E362" s="1656"/>
      <c r="F362" s="1722"/>
      <c r="G362" s="1655"/>
      <c r="H362" s="1656"/>
      <c r="I362" s="1656"/>
      <c r="J362" s="1658"/>
      <c r="K362"/>
    </row>
    <row r="363" spans="1:11" ht="16.5" thickBot="1">
      <c r="A363" s="952">
        <v>75</v>
      </c>
      <c r="B363" s="1653"/>
      <c r="C363" s="1633" t="str">
        <f>'OPS-FTE'!D46</f>
        <v>Warehouseman</v>
      </c>
      <c r="D363" s="1675">
        <f ca="1">'OPS-FTE'!M46</f>
        <v>0</v>
      </c>
      <c r="F363" s="1066" t="s">
        <v>1005</v>
      </c>
      <c r="G363" s="1640" t="s">
        <v>517</v>
      </c>
      <c r="H363" s="1641" t="e">
        <f>INDEX('Pay Scales'!$C$6:$D$30,MATCH(G363,'Pay Scales'!$C$6:$C$30,0),2)*(1+('Pay Scales'!$V$6*('Pay Scales'!$U$4=4)))*(1+('Pay Scales'!$D$2))</f>
        <v>#N/A</v>
      </c>
      <c r="I363" s="1641" t="e">
        <f ca="1">H363*D363</f>
        <v>#N/A</v>
      </c>
      <c r="J363" s="1700" t="e">
        <f ca="1">I363</f>
        <v>#N/A</v>
      </c>
      <c r="K363" t="s">
        <v>601</v>
      </c>
    </row>
    <row r="364" spans="1:11" ht="17.25" thickTop="1" thickBot="1">
      <c r="B364" s="1632"/>
      <c r="C364" s="1717" t="s">
        <v>88</v>
      </c>
      <c r="D364" s="1732">
        <f ca="1">SUM(D363)</f>
        <v>0</v>
      </c>
      <c r="E364" s="1649"/>
      <c r="F364" s="1649"/>
      <c r="G364" s="1708"/>
      <c r="H364" s="1709"/>
      <c r="I364" s="1709"/>
      <c r="J364" s="1710" t="e">
        <f ca="1">SUM(I363)</f>
        <v>#N/A</v>
      </c>
      <c r="K364"/>
    </row>
    <row r="365" spans="1:11" ht="16.5" thickTop="1">
      <c r="B365" s="1653" t="s">
        <v>315</v>
      </c>
      <c r="D365" s="1655"/>
      <c r="E365" s="1656"/>
      <c r="F365" s="1722"/>
      <c r="G365" s="1655"/>
      <c r="H365" s="1656"/>
      <c r="I365" s="1656"/>
      <c r="J365" s="1658"/>
      <c r="K365"/>
    </row>
    <row r="366" spans="1:11">
      <c r="A366" s="952">
        <v>228</v>
      </c>
      <c r="B366" s="1632"/>
      <c r="C366" s="1633" t="str">
        <f>'OPS-FTE'!D48</f>
        <v>Registered Nurse</v>
      </c>
      <c r="D366" s="1639">
        <f ca="1">'OPS-FTE'!M48</f>
        <v>0</v>
      </c>
      <c r="G366" s="1640" t="s">
        <v>507</v>
      </c>
      <c r="H366" s="1641" t="e">
        <f>INDEX('Pay Scales'!$M$6:$N$11,MATCH(G366,'Pay Scales'!$M$6:$M$11,0),2)*(1+('Pay Scales'!$V$6*('Pay Scales'!$U$4=4)))*(1+('Pay Scales'!$D$2))</f>
        <v>#N/A</v>
      </c>
      <c r="I366" s="1641" t="e">
        <f ca="1">H366*D366</f>
        <v>#N/A</v>
      </c>
      <c r="J366" s="1642"/>
      <c r="K366" t="s">
        <v>601</v>
      </c>
    </row>
    <row r="367" spans="1:11" ht="16.5" thickBot="1">
      <c r="A367" s="952">
        <v>226</v>
      </c>
      <c r="B367" s="1632"/>
      <c r="C367" s="1633" t="str">
        <f>'OPS-FTE'!D49</f>
        <v>Clerical Support</v>
      </c>
      <c r="D367" s="1675">
        <f ca="1">'OPS-FTE'!M49</f>
        <v>0</v>
      </c>
      <c r="G367" s="1640" t="s">
        <v>517</v>
      </c>
      <c r="H367" s="1641" t="e">
        <f>INDEX('Pay Scales'!$C$6:$D$30,MATCH(G367,'Pay Scales'!$C$6:$C$30,0),2)*(1+('Pay Scales'!$V$6*('Pay Scales'!$U$4=4)))*(1+('Pay Scales'!$D$2))</f>
        <v>#N/A</v>
      </c>
      <c r="I367" s="1641" t="e">
        <f ca="1">H367*D367</f>
        <v>#N/A</v>
      </c>
      <c r="J367" s="1642"/>
      <c r="K367" t="s">
        <v>601</v>
      </c>
    </row>
    <row r="368" spans="1:11" ht="17.25" thickTop="1" thickBot="1">
      <c r="B368" s="1632"/>
      <c r="C368" s="1717" t="s">
        <v>88</v>
      </c>
      <c r="D368" s="1677">
        <f ca="1">SUM(D366:D367)</f>
        <v>0</v>
      </c>
      <c r="E368" s="1649"/>
      <c r="F368" s="1649"/>
      <c r="G368" s="1708"/>
      <c r="H368" s="1709"/>
      <c r="I368" s="1709"/>
      <c r="J368" s="1710" t="e">
        <f ca="1">SUM(I366:I367)</f>
        <v>#N/A</v>
      </c>
      <c r="K368"/>
    </row>
    <row r="369" spans="1:11" ht="16.5" thickTop="1">
      <c r="B369" s="1653" t="s">
        <v>500</v>
      </c>
      <c r="D369" s="1655"/>
      <c r="E369" s="1656"/>
      <c r="F369" s="1722"/>
      <c r="G369" s="1655"/>
      <c r="H369" s="1656"/>
      <c r="I369" s="1656"/>
      <c r="J369" s="1658"/>
      <c r="K369"/>
    </row>
    <row r="370" spans="1:11" ht="16.5" thickBot="1">
      <c r="A370" s="952">
        <v>425</v>
      </c>
      <c r="B370" s="1653"/>
      <c r="C370" s="1633" t="s">
        <v>492</v>
      </c>
      <c r="D370" s="1675">
        <f>'OPS-FTE'!M61</f>
        <v>0</v>
      </c>
      <c r="F370" s="1066"/>
      <c r="G370" s="1640" t="s">
        <v>517</v>
      </c>
      <c r="H370" s="1641" t="e">
        <f>INDEX('Pay Scales'!$C$6:$D$30,MATCH(G370,'Pay Scales'!$C$6:$C$30,0),2)*(1+('Pay Scales'!$V$6*('Pay Scales'!$U$4=4)))*(1+('Pay Scales'!$D$2))</f>
        <v>#N/A</v>
      </c>
      <c r="I370" s="1641" t="e">
        <f>H370*D370</f>
        <v>#N/A</v>
      </c>
      <c r="J370" s="1700"/>
      <c r="K370" t="s">
        <v>601</v>
      </c>
    </row>
    <row r="371" spans="1:11" ht="17.25" thickTop="1" thickBot="1">
      <c r="B371" s="1632"/>
      <c r="C371" s="1717" t="s">
        <v>88</v>
      </c>
      <c r="D371" s="1732">
        <f>SUM(D370)</f>
        <v>0</v>
      </c>
      <c r="E371" s="1649"/>
      <c r="F371" s="1649"/>
      <c r="G371" s="1708"/>
      <c r="H371" s="1709"/>
      <c r="I371" s="1709"/>
      <c r="J371" s="1710" t="e">
        <f>SUM(I370)</f>
        <v>#N/A</v>
      </c>
      <c r="K371"/>
    </row>
    <row r="372" spans="1:11" ht="16.5" thickTop="1">
      <c r="B372" s="1653" t="s">
        <v>494</v>
      </c>
      <c r="D372" s="1655"/>
      <c r="E372" s="1656"/>
      <c r="F372" s="1722"/>
      <c r="G372" s="1655"/>
      <c r="H372" s="1656"/>
      <c r="I372" s="1656"/>
      <c r="J372" s="1658"/>
      <c r="K372"/>
    </row>
    <row r="373" spans="1:11">
      <c r="A373" s="952">
        <v>321</v>
      </c>
      <c r="B373" s="1632"/>
      <c r="C373" s="1633" t="str">
        <f>'OPS-FTE'!D52</f>
        <v>Security Staff</v>
      </c>
      <c r="D373" s="1639">
        <f ca="1">SUM('OPS-FTE'!M52:M56)+'OPS-FTE'!N52</f>
        <v>0</v>
      </c>
      <c r="G373" s="1640" t="s">
        <v>518</v>
      </c>
      <c r="H373" s="1641" t="e">
        <f>INDEX('Pay Scales'!$C$6:$D$30,MATCH(G373,'Pay Scales'!$C$6:$C$30,0),2)*(1+('Pay Scales'!$V$6*('Pay Scales'!$U$4=4)))*(1+('Pay Scales'!$D$2))</f>
        <v>#N/A</v>
      </c>
      <c r="I373" s="1641" t="e">
        <f ca="1">H373*D373</f>
        <v>#N/A</v>
      </c>
      <c r="J373" s="1700"/>
      <c r="K373" t="s">
        <v>601</v>
      </c>
    </row>
    <row r="374" spans="1:11">
      <c r="A374" s="952">
        <v>322</v>
      </c>
      <c r="B374" s="1632"/>
      <c r="C374" s="1633" t="str">
        <f>'OPS-FTE'!D57</f>
        <v>Security Supervisor</v>
      </c>
      <c r="D374" s="1639">
        <f ca="1">'OPS-FTE'!M57</f>
        <v>0</v>
      </c>
      <c r="G374" s="1640" t="s">
        <v>518</v>
      </c>
      <c r="H374" s="1641" t="e">
        <f>INDEX('Pay Scales'!$C$6:$D$30,MATCH(G374,'Pay Scales'!$C$6:$C$30,0),2)*(1+('Pay Scales'!$V$6*('Pay Scales'!$U$4=4)))*(1+('Pay Scales'!$D$2))</f>
        <v>#N/A</v>
      </c>
      <c r="I374" s="1641" t="e">
        <f ca="1">H374*D374</f>
        <v>#N/A</v>
      </c>
      <c r="J374" s="1700"/>
      <c r="K374" t="s">
        <v>601</v>
      </c>
    </row>
    <row r="375" spans="1:11" ht="16.5" thickBot="1">
      <c r="A375" s="952">
        <v>323</v>
      </c>
      <c r="B375" s="1632"/>
      <c r="C375" s="1633" t="str">
        <f>'OPS-FTE'!D58</f>
        <v>Security Admin Assistant</v>
      </c>
      <c r="D375" s="1675">
        <f ca="1">'OPS-FTE'!M58</f>
        <v>0</v>
      </c>
      <c r="G375" s="1640" t="s">
        <v>518</v>
      </c>
      <c r="H375" s="1641" t="e">
        <f>INDEX('Pay Scales'!$C$6:$D$30,MATCH(G375,'Pay Scales'!$C$6:$C$30,0),2)*(1+('Pay Scales'!$V$6*('Pay Scales'!$U$4=4)))*(1+('Pay Scales'!$D$2))</f>
        <v>#N/A</v>
      </c>
      <c r="I375" s="1641" t="e">
        <f ca="1">H375*D375</f>
        <v>#N/A</v>
      </c>
      <c r="J375" s="1700"/>
      <c r="K375" t="s">
        <v>601</v>
      </c>
    </row>
    <row r="376" spans="1:11" ht="17.25" thickTop="1" thickBot="1">
      <c r="B376" s="1632"/>
      <c r="C376" s="1729" t="s">
        <v>88</v>
      </c>
      <c r="D376" s="1732">
        <f ca="1">SUM(D373:D375)</f>
        <v>0</v>
      </c>
      <c r="E376" s="1649"/>
      <c r="F376" s="1649"/>
      <c r="G376" s="1708"/>
      <c r="H376" s="1709"/>
      <c r="I376" s="1709"/>
      <c r="J376" s="1710" t="e">
        <f ca="1">SUM(I373:I375)</f>
        <v>#N/A</v>
      </c>
      <c r="K376"/>
    </row>
    <row r="377" spans="1:11" ht="16.5" thickTop="1">
      <c r="B377" s="1663" t="s">
        <v>1029</v>
      </c>
      <c r="C377" s="1664"/>
      <c r="D377" s="1655"/>
      <c r="E377" s="1656"/>
      <c r="F377" s="1656"/>
      <c r="G377" s="1657"/>
      <c r="H377" s="1656"/>
      <c r="I377" s="1656"/>
      <c r="J377" s="1658"/>
      <c r="K377"/>
    </row>
    <row r="378" spans="1:11">
      <c r="C378" s="1696" t="str">
        <f>'OPS-FTE'!D64</f>
        <v>FAC SUPP_Adjustment 1</v>
      </c>
      <c r="D378" s="1639">
        <f>'OPS-FTE'!M64</f>
        <v>0</v>
      </c>
      <c r="G378" s="1640" t="s">
        <v>430</v>
      </c>
      <c r="H378" s="1641" t="e">
        <f>INDEX('Pay Scales'!$C$5:$D$30,MATCH(G378,'Pay Scales'!$C$5:$C$30,0),2)*(1+('Pay Scales'!$V$6*('Pay Scales'!$U$4=4)))*(1+('Pay Scales'!$D$2))</f>
        <v>#N/A</v>
      </c>
      <c r="I378" s="1641" t="e">
        <f t="shared" ref="I378:I386" si="14">H378*D378</f>
        <v>#N/A</v>
      </c>
      <c r="J378" s="1642"/>
      <c r="K378" t="s">
        <v>601</v>
      </c>
    </row>
    <row r="379" spans="1:11">
      <c r="C379" s="1696" t="str">
        <f>'OPS-FTE'!D65</f>
        <v>FAC SUPP_Adjustment 2</v>
      </c>
      <c r="D379" s="1639">
        <f>'OPS-FTE'!M65</f>
        <v>0</v>
      </c>
      <c r="G379" s="1640" t="s">
        <v>430</v>
      </c>
      <c r="H379" s="1641" t="e">
        <f>INDEX('Pay Scales'!$C$5:$D$30,MATCH(G379,'Pay Scales'!$C$5:$C$30,0),2)*(1+('Pay Scales'!$V$6*('Pay Scales'!$U$4=4)))*(1+('Pay Scales'!$D$2))</f>
        <v>#N/A</v>
      </c>
      <c r="I379" s="1641" t="e">
        <f t="shared" ref="I379:I381" si="15">H379*D379</f>
        <v>#N/A</v>
      </c>
      <c r="J379" s="1642"/>
      <c r="K379" t="s">
        <v>601</v>
      </c>
    </row>
    <row r="380" spans="1:11">
      <c r="C380" s="1696" t="str">
        <f>'OPS-FTE'!D66</f>
        <v>FAC SUPP_Adjustment 3</v>
      </c>
      <c r="D380" s="1639">
        <f>'OPS-FTE'!M66</f>
        <v>0</v>
      </c>
      <c r="G380" s="1640" t="s">
        <v>430</v>
      </c>
      <c r="H380" s="1641" t="e">
        <f>INDEX('Pay Scales'!$C$5:$D$30,MATCH(G380,'Pay Scales'!$C$5:$C$30,0),2)*(1+('Pay Scales'!$V$6*('Pay Scales'!$U$4=4)))*(1+('Pay Scales'!$D$2))</f>
        <v>#N/A</v>
      </c>
      <c r="I380" s="1641" t="e">
        <f t="shared" si="15"/>
        <v>#N/A</v>
      </c>
      <c r="J380" s="1642"/>
      <c r="K380" t="s">
        <v>601</v>
      </c>
    </row>
    <row r="381" spans="1:11">
      <c r="C381" s="1696" t="str">
        <f>'OPS-FTE'!D67</f>
        <v>FAC SUPP_Adjustment 4</v>
      </c>
      <c r="D381" s="1639">
        <f>'OPS-FTE'!M67</f>
        <v>0</v>
      </c>
      <c r="G381" s="1640" t="s">
        <v>430</v>
      </c>
      <c r="H381" s="1641" t="e">
        <f>INDEX('Pay Scales'!$C$5:$D$30,MATCH(G381,'Pay Scales'!$C$5:$C$30,0),2)*(1+('Pay Scales'!$V$6*('Pay Scales'!$U$4=4)))*(1+('Pay Scales'!$D$2))</f>
        <v>#N/A</v>
      </c>
      <c r="I381" s="1641" t="e">
        <f t="shared" si="15"/>
        <v>#N/A</v>
      </c>
      <c r="J381" s="1642"/>
      <c r="K381" t="s">
        <v>601</v>
      </c>
    </row>
    <row r="382" spans="1:11">
      <c r="C382" s="1696" t="str">
        <f>'OPS-FTE'!D68</f>
        <v>FAC SUPP_Adjustment 5</v>
      </c>
      <c r="D382" s="1639">
        <f>'OPS-FTE'!M68</f>
        <v>0</v>
      </c>
      <c r="G382" s="1640" t="s">
        <v>430</v>
      </c>
      <c r="H382" s="1641" t="e">
        <f>INDEX('Pay Scales'!$C$5:$D$30,MATCH(G382,'Pay Scales'!$C$5:$C$30,0),2)*(1+('Pay Scales'!$V$6*('Pay Scales'!$U$4=4)))*(1+('Pay Scales'!$D$2))</f>
        <v>#N/A</v>
      </c>
      <c r="I382" s="1641" t="e">
        <f t="shared" si="14"/>
        <v>#N/A</v>
      </c>
      <c r="J382" s="1642"/>
      <c r="K382" t="s">
        <v>601</v>
      </c>
    </row>
    <row r="383" spans="1:11">
      <c r="C383" s="1696" t="str">
        <f>'OPS-FTE'!D69</f>
        <v>FAC SUPP_Adjustment 6</v>
      </c>
      <c r="D383" s="1639">
        <f>'OPS-FTE'!M69</f>
        <v>0</v>
      </c>
      <c r="G383" s="1640" t="s">
        <v>430</v>
      </c>
      <c r="H383" s="1641" t="e">
        <f>INDEX('Pay Scales'!$C$5:$D$30,MATCH(G383,'Pay Scales'!$C$5:$C$30,0),2)*(1+('Pay Scales'!$V$6*('Pay Scales'!$U$4=4)))*(1+('Pay Scales'!$D$2))</f>
        <v>#N/A</v>
      </c>
      <c r="I383" s="1641" t="e">
        <f t="shared" si="14"/>
        <v>#N/A</v>
      </c>
      <c r="J383" s="1642"/>
      <c r="K383" t="s">
        <v>601</v>
      </c>
    </row>
    <row r="384" spans="1:11">
      <c r="C384" s="1696" t="str">
        <f>'OPS-FTE'!D70</f>
        <v>FAC SUPP_Adjustment 7</v>
      </c>
      <c r="D384" s="1639">
        <f>'OPS-FTE'!M70</f>
        <v>0</v>
      </c>
      <c r="G384" s="1640" t="s">
        <v>430</v>
      </c>
      <c r="H384" s="1641" t="e">
        <f>INDEX('Pay Scales'!$C$5:$D$30,MATCH(G384,'Pay Scales'!$C$5:$C$30,0),2)*(1+('Pay Scales'!$V$6*('Pay Scales'!$U$4=4)))*(1+('Pay Scales'!$D$2))</f>
        <v>#N/A</v>
      </c>
      <c r="I384" s="1641" t="e">
        <f t="shared" si="14"/>
        <v>#N/A</v>
      </c>
      <c r="J384" s="1642"/>
      <c r="K384" t="s">
        <v>601</v>
      </c>
    </row>
    <row r="385" spans="1:11">
      <c r="C385" s="1696" t="str">
        <f>'OPS-FTE'!D71</f>
        <v>FAC SUPP_Adjustment 8</v>
      </c>
      <c r="D385" s="1639">
        <f>'OPS-FTE'!M71</f>
        <v>0</v>
      </c>
      <c r="G385" s="1640" t="s">
        <v>430</v>
      </c>
      <c r="H385" s="1641" t="e">
        <f>INDEX('Pay Scales'!$C$5:$D$30,MATCH(G385,'Pay Scales'!$C$5:$C$30,0),2)*(1+('Pay Scales'!$V$6*('Pay Scales'!$U$4=4)))*(1+('Pay Scales'!$D$2))</f>
        <v>#N/A</v>
      </c>
      <c r="I385" s="1641" t="e">
        <f t="shared" si="14"/>
        <v>#N/A</v>
      </c>
      <c r="J385" s="1642"/>
      <c r="K385" t="s">
        <v>601</v>
      </c>
    </row>
    <row r="386" spans="1:11" ht="16.5" thickBot="1">
      <c r="C386" s="1696" t="str">
        <f>'OPS-FTE'!D72</f>
        <v>FAC SUPP_Adjustment 9</v>
      </c>
      <c r="D386" s="1639">
        <f>'OPS-FTE'!M72</f>
        <v>0</v>
      </c>
      <c r="G386" s="1640" t="s">
        <v>430</v>
      </c>
      <c r="H386" s="1645" t="e">
        <f>INDEX('Pay Scales'!$C$5:$D$30,MATCH(G386,'Pay Scales'!$C$5:$C$30,0),2)*(1+('Pay Scales'!$V$6*('Pay Scales'!$U$4=4)))*(1+('Pay Scales'!$D$2))</f>
        <v>#N/A</v>
      </c>
      <c r="I386" s="1645" t="e">
        <f t="shared" si="14"/>
        <v>#N/A</v>
      </c>
      <c r="J386" s="1646"/>
      <c r="K386" t="s">
        <v>601</v>
      </c>
    </row>
    <row r="387" spans="1:11" ht="18.600000000000001" customHeight="1" thickTop="1">
      <c r="B387" s="1632"/>
      <c r="C387" s="1647" t="s">
        <v>88</v>
      </c>
      <c r="D387" s="1692">
        <f>SUM(D378:D386)</f>
        <v>0</v>
      </c>
      <c r="E387" s="1649"/>
      <c r="F387" s="1649"/>
      <c r="G387" s="1650"/>
      <c r="H387" s="1651"/>
      <c r="I387" s="1651"/>
      <c r="J387" s="1652" t="e">
        <f>SUM(I378:I386)</f>
        <v>#N/A</v>
      </c>
      <c r="K387"/>
    </row>
    <row r="388" spans="1:11" ht="19.5" customHeight="1" thickBot="1">
      <c r="B388" s="1733" t="s">
        <v>1006</v>
      </c>
      <c r="C388" s="1734"/>
      <c r="D388" s="1735">
        <f ca="1">D387+D376+D371+D368+D364+D361+D352+D349+D343+D340</f>
        <v>0</v>
      </c>
      <c r="E388" s="1670"/>
      <c r="F388" s="1670"/>
      <c r="G388" s="1671"/>
      <c r="H388" s="1672"/>
      <c r="I388" s="1672"/>
      <c r="J388" s="1673"/>
      <c r="K388"/>
    </row>
    <row r="389" spans="1:11" ht="24" thickTop="1" thickBot="1">
      <c r="B389" s="1739" t="s">
        <v>1007</v>
      </c>
      <c r="C389" s="1740"/>
      <c r="D389" s="1741">
        <f ca="1">(D388+D334+D263+D192+D150+D61)*(PCPV&gt;=6450)*(FAC_INFO_FAC_TYPE&lt;&gt;1)</f>
        <v>0</v>
      </c>
      <c r="E389" s="1742">
        <f ca="1">D389-'Budget Calc'!D22</f>
        <v>0</v>
      </c>
      <c r="G389" s="1743"/>
      <c r="H389" s="1744"/>
      <c r="I389" s="1744"/>
      <c r="J389" s="1745" t="e">
        <f>SUM(J9:J141)</f>
        <v>#N/A</v>
      </c>
      <c r="K389"/>
    </row>
    <row r="390" spans="1:11" ht="18.75">
      <c r="B390" s="1746"/>
      <c r="C390" s="1613"/>
      <c r="D390" s="1747" t="str">
        <f>IF(PCPV&lt;6450,"Primary Care Provider Visits (PCPV) must be at least 6,450","")</f>
        <v>Primary Care Provider Visits (PCPV) must be at least 6,450</v>
      </c>
      <c r="G390" s="107"/>
    </row>
    <row r="391" spans="1:11">
      <c r="A391" s="643"/>
      <c r="B391" s="1929"/>
      <c r="C391" s="1929"/>
      <c r="D391" s="1929"/>
      <c r="G391" s="107"/>
    </row>
    <row r="392" spans="1:11">
      <c r="A392" s="643"/>
      <c r="B392" s="1929"/>
      <c r="C392" s="1929"/>
      <c r="D392" s="1929"/>
      <c r="G392" s="107"/>
    </row>
    <row r="393" spans="1:11" ht="16.5" thickBot="1">
      <c r="A393" s="643"/>
      <c r="B393" s="1955"/>
      <c r="C393" s="1955"/>
      <c r="D393" s="1955"/>
      <c r="G393" s="107"/>
    </row>
    <row r="394" spans="1:11" ht="16.5" hidden="1" thickTop="1">
      <c r="D394" s="1742"/>
      <c r="G394" s="107"/>
    </row>
    <row r="395" spans="1:11" ht="16.5" hidden="1" thickTop="1"/>
    <row r="396" spans="1:11" ht="16.5" hidden="1" thickTop="1"/>
    <row r="397" spans="1:11" ht="16.5" hidden="1" thickTop="1"/>
    <row r="398" spans="1:11" ht="16.5" hidden="1" thickTop="1"/>
    <row r="399" spans="1:11" ht="16.5" hidden="1" thickTop="1"/>
    <row r="400" spans="1:11" ht="16.5" hidden="1" thickTop="1"/>
    <row r="401" ht="16.5" hidden="1" thickTop="1"/>
    <row r="402" ht="16.5" hidden="1" thickTop="1"/>
    <row r="403" ht="16.5" hidden="1" thickTop="1"/>
    <row r="404" ht="16.5" hidden="1" thickTop="1"/>
    <row r="405" ht="16.5" hidden="1" thickTop="1"/>
    <row r="406" ht="16.5" hidden="1" thickTop="1"/>
    <row r="407" ht="16.5" hidden="1" thickTop="1"/>
    <row r="408" ht="16.5" thickTop="1"/>
    <row r="409"/>
    <row r="410"/>
    <row r="411"/>
    <row r="412"/>
    <row r="413"/>
    <row r="414"/>
    <row r="415"/>
    <row r="416"/>
    <row r="417"/>
    <row r="418"/>
    <row r="419"/>
    <row r="420"/>
    <row r="421"/>
  </sheetData>
  <sheetProtection algorithmName="SHA-512" hashValue="m2kRfUI4794/WhP6syeGd7DedIAFPeSLJ/fvMv6pfwy4HcSL9ZGdPQFX8RTXp45p5mmbD+VOh+8QO7SGgydCaw==" saltValue="NnJH/UCfl5SgadRBwPQtZw==" spinCount="100000" sheet="1" objects="1" scenarios="1"/>
  <mergeCells count="11">
    <mergeCell ref="B391:D393"/>
    <mergeCell ref="B1:D1"/>
    <mergeCell ref="B2:D2"/>
    <mergeCell ref="B5:C5"/>
    <mergeCell ref="B7:C7"/>
    <mergeCell ref="B62:C62"/>
    <mergeCell ref="B151:C151"/>
    <mergeCell ref="B193:C193"/>
    <mergeCell ref="B231:C231"/>
    <mergeCell ref="B264:C264"/>
    <mergeCell ref="B335:C335"/>
  </mergeCells>
  <dataValidations disablePrompts="1" count="9">
    <dataValidation type="list" allowBlank="1" showInputMessage="1" showErrorMessage="1" sqref="G107 G104">
      <formula1>#REF!</formula1>
    </dataValidation>
    <dataValidation type="list" allowBlank="1" showInputMessage="1" showErrorMessage="1" sqref="G124 G121">
      <formula1>"GS-13"</formula1>
    </dataValidation>
    <dataValidation type="list" allowBlank="1" showInputMessage="1" showErrorMessage="1" sqref="G158:G161">
      <formula1>"GS-12"</formula1>
    </dataValidation>
    <dataValidation type="list" allowBlank="1" showInputMessage="1" showErrorMessage="1" sqref="G73:G75 G103 G99 G83 G9:G12 G16:G17 G64 G69 G268:G269 G272:G273 G130 G19">
      <formula1>Doctor_Scale</formula1>
    </dataValidation>
    <dataValidation type="list" allowBlank="1" showInputMessage="1" showErrorMessage="1" sqref="G355:G357">
      <formula1>FoodSvs</formula1>
    </dataValidation>
    <dataValidation type="list" allowBlank="1" showInputMessage="1" showErrorMessage="1" sqref="G337:G339 G342">
      <formula1>"Wage Equiv."</formula1>
    </dataValidation>
    <dataValidation type="list" allowBlank="1" showInputMessage="1" showErrorMessage="1" sqref="G137:G140 G329:G332 G250:G261 G51:G59 G143:G148 G187:G190 G378:G386">
      <formula1>Dev_GS</formula1>
    </dataValidation>
    <dataValidation type="list" allowBlank="1" showInputMessage="1" showErrorMessage="1" sqref="G351 G363 G367 G287:G290 G312:G313 G326 G323 G241:G242 G319:G320 G354 G358:G360 G100 G96:G98 G90:G91 G87 G76 G79:G80 G162:G164 G196:G198 G125:G127 G167:G168 G171:G178 G184 G181 G153:G155 G201:G204 G110:G118 G225:G229 G276:G280 G122:G123 G245:G247 G237:G238 G293:G297 G39 G43:G44 G37 G34:G35 G31:G32 G28:G29 G25:G26 G23 G70 G131:G134 G212:G213 G13:G14 G316 G47:G48 G207:G209 G216:G222 G233:G234 G266:G267 G283:G284 G300 G303:G309 G373:G375 G270:G271 G345:G348 G370">
      <formula1>Standard_GS</formula1>
    </dataValidation>
    <dataValidation type="list" allowBlank="1" showInputMessage="1" showErrorMessage="1" sqref="G366 G92:G93 G88:G89 G86 G22 G18 G38 G24 G36 G33 G30 G27 G40:G42 G65:G68 G195 G45:G46">
      <formula1>Nurse_Scale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B2:V40"/>
  <sheetViews>
    <sheetView workbookViewId="0">
      <selection activeCell="Q4" sqref="Q4"/>
    </sheetView>
  </sheetViews>
  <sheetFormatPr defaultRowHeight="15.75"/>
  <cols>
    <col min="2" max="2" width="7" customWidth="1" collapsed="1"/>
    <col min="3" max="3" width="7.875" customWidth="1" collapsed="1"/>
    <col min="4" max="4" width="10.625" customWidth="1" collapsed="1"/>
    <col min="5" max="6" width="7.875" customWidth="1" collapsed="1"/>
    <col min="7" max="7" width="14.25" customWidth="1" collapsed="1"/>
    <col min="8" max="12" width="7.875" customWidth="1" collapsed="1"/>
    <col min="13" max="13" width="11.625" customWidth="1" collapsed="1"/>
    <col min="14" max="15" width="8.875" customWidth="1" collapsed="1"/>
    <col min="16" max="16" width="9.625" customWidth="1" collapsed="1"/>
    <col min="17" max="17" width="8.875" customWidth="1" collapsed="1"/>
  </cols>
  <sheetData>
    <row r="2" spans="3:22">
      <c r="C2" t="s">
        <v>545</v>
      </c>
      <c r="D2" s="938">
        <v>0.28000000000000003</v>
      </c>
    </row>
    <row r="3" spans="3:22">
      <c r="H3" t="s">
        <v>539</v>
      </c>
      <c r="N3" t="s">
        <v>539</v>
      </c>
      <c r="Q3">
        <f>VLOOKUP(INT('Facility Info'!E14),'Pay Scales'!P5:Q40,2)-1</f>
        <v>0.51258972485511189</v>
      </c>
    </row>
    <row r="4" spans="3:22">
      <c r="C4" t="s">
        <v>546</v>
      </c>
      <c r="G4" t="s">
        <v>525</v>
      </c>
      <c r="H4">
        <v>1</v>
      </c>
      <c r="I4">
        <v>2</v>
      </c>
      <c r="J4">
        <v>3</v>
      </c>
      <c r="K4">
        <v>4</v>
      </c>
      <c r="M4" t="s">
        <v>526</v>
      </c>
      <c r="N4">
        <v>1</v>
      </c>
      <c r="P4" s="1021" t="s">
        <v>597</v>
      </c>
      <c r="Q4" s="1022">
        <v>0.03</v>
      </c>
      <c r="T4" t="s">
        <v>527</v>
      </c>
      <c r="U4" t="e">
        <f>INDEX($T$6:$U$17,MATCH('Facility Info'!$E$9,$T$6:$T$17,0),2)</f>
        <v>#N/A</v>
      </c>
    </row>
    <row r="5" spans="3:22">
      <c r="C5" t="s">
        <v>430</v>
      </c>
      <c r="G5" t="s">
        <v>430</v>
      </c>
      <c r="P5" s="1023">
        <v>2005</v>
      </c>
      <c r="Q5" s="1024">
        <v>1</v>
      </c>
      <c r="T5" s="1066" t="s">
        <v>683</v>
      </c>
    </row>
    <row r="6" spans="3:22">
      <c r="C6" s="932" t="s">
        <v>514</v>
      </c>
      <c r="D6" s="932">
        <f>17703*(1+Q3)</f>
        <v>26777.375899110048</v>
      </c>
      <c r="E6" s="935"/>
      <c r="G6" t="s">
        <v>511</v>
      </c>
      <c r="H6">
        <f>96511*(1+Q3)</f>
        <v>145981.5469354917</v>
      </c>
      <c r="I6">
        <f>112379*(1+Q3)</f>
        <v>169983.32068949263</v>
      </c>
      <c r="J6">
        <f>128246*(1+Q3)</f>
        <v>193983.58185376867</v>
      </c>
      <c r="K6">
        <f>(1+Q3)*128246</f>
        <v>193983.58185376867</v>
      </c>
      <c r="M6" s="932" t="s">
        <v>507</v>
      </c>
      <c r="N6">
        <f>(1+Q3)*54110</f>
        <v>81846.230011910098</v>
      </c>
      <c r="P6" s="1023">
        <v>2006</v>
      </c>
      <c r="Q6" s="1025">
        <f>Q5*(1+$Q$4)</f>
        <v>1.03</v>
      </c>
      <c r="T6" t="s">
        <v>528</v>
      </c>
      <c r="U6">
        <v>4</v>
      </c>
    </row>
    <row r="7" spans="3:22">
      <c r="C7" s="932" t="s">
        <v>515</v>
      </c>
      <c r="D7" s="932">
        <f>19274*(1+Q3)</f>
        <v>29153.654356857427</v>
      </c>
      <c r="E7" s="935"/>
      <c r="G7" t="s">
        <v>512</v>
      </c>
      <c r="H7">
        <f>(1+Q3)*123962</f>
        <v>187503.64747248939</v>
      </c>
      <c r="I7">
        <f>(1+Q3)*134470</f>
        <v>203397.94030126691</v>
      </c>
      <c r="J7">
        <f>(1+Q3)*144978</f>
        <v>219292.23313004442</v>
      </c>
      <c r="K7">
        <f>(1+Q3)*144978</f>
        <v>219292.23313004442</v>
      </c>
      <c r="M7" s="932" t="s">
        <v>508</v>
      </c>
      <c r="N7">
        <f>(1+Q3)*56884</f>
        <v>86042.153908658191</v>
      </c>
      <c r="P7" s="1023">
        <v>2007</v>
      </c>
      <c r="Q7" s="1025">
        <f>Q6*(1+$Q$4)</f>
        <v>1.0609</v>
      </c>
      <c r="T7" t="s">
        <v>529</v>
      </c>
      <c r="U7">
        <v>1</v>
      </c>
      <c r="V7" s="938">
        <v>0.25</v>
      </c>
    </row>
    <row r="8" spans="3:22">
      <c r="C8" s="932" t="s">
        <v>516</v>
      </c>
      <c r="D8" s="932">
        <f>21724*(1+Q3)</f>
        <v>32859.49918275245</v>
      </c>
      <c r="E8" s="935"/>
      <c r="G8" t="s">
        <v>513</v>
      </c>
      <c r="H8">
        <f>(1+Q3)*145900</f>
        <v>220686.84085636082</v>
      </c>
      <c r="I8">
        <f>(1+Q3)*172745</f>
        <v>261292.31202009632</v>
      </c>
      <c r="J8">
        <f>(1+Q3)*199590</f>
        <v>301897.78318383178</v>
      </c>
      <c r="K8">
        <f>(1+Q3)*199590</f>
        <v>301897.78318383178</v>
      </c>
      <c r="M8" s="932" t="s">
        <v>509</v>
      </c>
      <c r="N8">
        <f>(1+Q3)*65466</f>
        <v>99023.198927364749</v>
      </c>
      <c r="P8" s="1023">
        <v>2008</v>
      </c>
      <c r="Q8" s="1025">
        <f>Q7*(1+$Q$4)</f>
        <v>1.092727</v>
      </c>
      <c r="T8" t="s">
        <v>530</v>
      </c>
      <c r="U8">
        <v>2</v>
      </c>
    </row>
    <row r="9" spans="3:22">
      <c r="C9" s="932" t="s">
        <v>517</v>
      </c>
      <c r="D9" s="932">
        <f>24386*(1+Q3)</f>
        <v>36886.013030316761</v>
      </c>
      <c r="E9" s="935"/>
      <c r="M9" s="932" t="s">
        <v>510</v>
      </c>
      <c r="N9">
        <f>(1+Q3)*76699</f>
        <v>116014.11930666222</v>
      </c>
      <c r="P9" s="1023">
        <v>2009</v>
      </c>
      <c r="Q9" s="1025">
        <f>Q8*(1+$Q$4)</f>
        <v>1.1255088100000001</v>
      </c>
      <c r="T9" t="s">
        <v>531</v>
      </c>
      <c r="U9">
        <v>3</v>
      </c>
    </row>
    <row r="10" spans="3:22">
      <c r="C10" s="932" t="s">
        <v>518</v>
      </c>
      <c r="D10" s="932">
        <f>27287*(1+Q3)</f>
        <v>41274.035822121441</v>
      </c>
      <c r="E10" s="935"/>
      <c r="M10" t="s">
        <v>511</v>
      </c>
      <c r="N10">
        <f>(1+Q3)*84923</f>
        <v>128453.65720387067</v>
      </c>
      <c r="P10" s="1023">
        <v>2010</v>
      </c>
      <c r="Q10" s="1025">
        <f t="shared" ref="Q10:Q40" si="0">Q9*(1+$Q$4)</f>
        <v>1.1592740743000001</v>
      </c>
      <c r="T10" t="s">
        <v>532</v>
      </c>
      <c r="U10">
        <v>2</v>
      </c>
    </row>
    <row r="11" spans="3:22">
      <c r="C11" s="932" t="s">
        <v>519</v>
      </c>
      <c r="D11" s="932">
        <f>30416*(1+Q3)</f>
        <v>46006.929071193081</v>
      </c>
      <c r="E11" s="935"/>
      <c r="G11" t="s">
        <v>540</v>
      </c>
      <c r="H11">
        <f>(1+Q3)*86600</f>
        <v>130990.27017245269</v>
      </c>
      <c r="I11">
        <f>(1+Q3)*95000</f>
        <v>143696.02386123562</v>
      </c>
      <c r="J11">
        <f>(1+Q3)*103000</f>
        <v>155796.74166007651</v>
      </c>
      <c r="K11">
        <f>(1+Q3)*103000</f>
        <v>155796.74166007651</v>
      </c>
      <c r="M11" t="s">
        <v>512</v>
      </c>
      <c r="N11">
        <f>(1+Q3)*95398</f>
        <v>144298.03457172797</v>
      </c>
      <c r="P11" s="1023">
        <v>2011</v>
      </c>
      <c r="Q11" s="1025">
        <f t="shared" si="0"/>
        <v>1.1940522965290001</v>
      </c>
      <c r="T11" t="s">
        <v>659</v>
      </c>
      <c r="U11">
        <v>3</v>
      </c>
    </row>
    <row r="12" spans="3:22">
      <c r="C12" s="932" t="s">
        <v>520</v>
      </c>
      <c r="D12" s="932">
        <f>33797*(1+Q3)</f>
        <v>51120.994930928216</v>
      </c>
      <c r="E12" s="935"/>
      <c r="P12" s="1023">
        <v>2012</v>
      </c>
      <c r="Q12" s="1025">
        <f t="shared" si="0"/>
        <v>1.2298738654248702</v>
      </c>
      <c r="T12" t="s">
        <v>533</v>
      </c>
      <c r="U12">
        <v>2</v>
      </c>
    </row>
    <row r="13" spans="3:22">
      <c r="C13" s="932" t="s">
        <v>521</v>
      </c>
      <c r="D13" s="932">
        <f>37430*(1+Q3)</f>
        <v>56616.233401326841</v>
      </c>
      <c r="E13" s="935"/>
      <c r="G13" t="s">
        <v>223</v>
      </c>
      <c r="H13">
        <f>(1+Q3)*84700</f>
        <v>128116.34969522798</v>
      </c>
      <c r="P13" s="1023">
        <v>2013</v>
      </c>
      <c r="Q13" s="1025">
        <f t="shared" si="0"/>
        <v>1.2667700813876164</v>
      </c>
      <c r="T13" t="s">
        <v>534</v>
      </c>
      <c r="U13">
        <v>3</v>
      </c>
    </row>
    <row r="14" spans="3:22">
      <c r="C14" s="932" t="s">
        <v>507</v>
      </c>
      <c r="D14" s="932">
        <f>41342*(1+Q3)</f>
        <v>62533.484404960036</v>
      </c>
      <c r="E14" s="935"/>
      <c r="P14" s="1023">
        <v>2014</v>
      </c>
      <c r="Q14" s="1025">
        <f t="shared" si="0"/>
        <v>1.3047731838292449</v>
      </c>
      <c r="T14" t="s">
        <v>535</v>
      </c>
      <c r="U14">
        <v>2</v>
      </c>
    </row>
    <row r="15" spans="3:22">
      <c r="C15" s="932" t="s">
        <v>508</v>
      </c>
      <c r="D15" s="932">
        <f>45527*(1+Q3)</f>
        <v>68863.672403478675</v>
      </c>
      <c r="E15" s="935"/>
      <c r="G15" t="s">
        <v>541</v>
      </c>
      <c r="H15">
        <f>(1+Q3)*40000</f>
        <v>60503.588994204474</v>
      </c>
      <c r="P15" s="1023">
        <v>2015</v>
      </c>
      <c r="Q15" s="1025">
        <f t="shared" si="0"/>
        <v>1.3439163793441222</v>
      </c>
      <c r="T15" t="s">
        <v>536</v>
      </c>
      <c r="U15">
        <v>1</v>
      </c>
    </row>
    <row r="16" spans="3:22">
      <c r="C16" s="932" t="s">
        <v>509</v>
      </c>
      <c r="D16" s="932">
        <f>50020*(1+Q3)</f>
        <v>75659.738037252697</v>
      </c>
      <c r="E16" s="935"/>
      <c r="P16" s="1023">
        <v>2016</v>
      </c>
      <c r="Q16" s="1025">
        <f t="shared" si="0"/>
        <v>1.3842338707244459</v>
      </c>
      <c r="T16" t="s">
        <v>537</v>
      </c>
      <c r="U16">
        <v>2</v>
      </c>
    </row>
    <row r="17" spans="3:21">
      <c r="C17" s="932" t="s">
        <v>510</v>
      </c>
      <c r="D17" s="932">
        <f>59951*(1+Q3)</f>
        <v>90681.266594788816</v>
      </c>
      <c r="E17" s="935"/>
      <c r="G17" t="s">
        <v>542</v>
      </c>
      <c r="H17">
        <f>(1+Q3)*28780</f>
        <v>43532.33228133012</v>
      </c>
      <c r="P17" s="1023">
        <v>2017</v>
      </c>
      <c r="Q17" s="1025">
        <f t="shared" si="0"/>
        <v>1.4257608868461793</v>
      </c>
      <c r="T17" t="s">
        <v>538</v>
      </c>
      <c r="U17">
        <v>1</v>
      </c>
    </row>
    <row r="18" spans="3:21">
      <c r="C18" s="932" t="s">
        <v>511</v>
      </c>
      <c r="D18" s="932">
        <f>71293*(1+Q3)</f>
        <v>107837.0592540955</v>
      </c>
      <c r="E18" s="935"/>
      <c r="P18" s="1023">
        <v>2018</v>
      </c>
      <c r="Q18" s="1025">
        <f t="shared" si="0"/>
        <v>1.4685337134515648</v>
      </c>
    </row>
    <row r="19" spans="3:21">
      <c r="C19" s="932" t="s">
        <v>512</v>
      </c>
      <c r="D19" s="932">
        <f>84247*(1+Q3)</f>
        <v>127431.14654986862</v>
      </c>
      <c r="E19" s="935"/>
      <c r="G19" t="s">
        <v>543</v>
      </c>
      <c r="H19">
        <f>(1+Q3)*34919</f>
        <v>52818.120602215655</v>
      </c>
      <c r="P19" s="1023">
        <v>2019</v>
      </c>
      <c r="Q19" s="1025">
        <f t="shared" si="0"/>
        <v>1.5125897248551119</v>
      </c>
    </row>
    <row r="20" spans="3:21" ht="16.5" thickBot="1">
      <c r="C20" s="932" t="s">
        <v>513</v>
      </c>
      <c r="D20" s="933">
        <f>99099*(1+Q3)</f>
        <v>149896.12914341674</v>
      </c>
      <c r="E20" s="935"/>
      <c r="P20" s="1023">
        <v>2020</v>
      </c>
      <c r="Q20" s="1025">
        <f t="shared" si="0"/>
        <v>1.5579674166007653</v>
      </c>
    </row>
    <row r="21" spans="3:21">
      <c r="C21" s="934"/>
      <c r="D21" s="936"/>
      <c r="G21" t="s">
        <v>544</v>
      </c>
      <c r="H21">
        <f>(1+Q3)*30331</f>
        <v>45878.358944580395</v>
      </c>
      <c r="P21" s="1023">
        <v>2021</v>
      </c>
      <c r="Q21" s="1025">
        <f t="shared" si="0"/>
        <v>1.6047064390987884</v>
      </c>
    </row>
    <row r="22" spans="3:21">
      <c r="C22" s="934"/>
      <c r="D22" s="936"/>
      <c r="P22" s="1023">
        <v>2022</v>
      </c>
      <c r="Q22" s="1025">
        <f t="shared" si="0"/>
        <v>1.652847632271752</v>
      </c>
    </row>
    <row r="23" spans="3:21">
      <c r="C23" s="934"/>
      <c r="D23" s="106"/>
      <c r="G23" t="s">
        <v>639</v>
      </c>
      <c r="P23" s="1023">
        <v>2023</v>
      </c>
      <c r="Q23" s="1025">
        <f t="shared" si="0"/>
        <v>1.7024330612399046</v>
      </c>
    </row>
    <row r="24" spans="3:21">
      <c r="C24" s="934"/>
      <c r="D24" s="106"/>
      <c r="G24" t="s">
        <v>430</v>
      </c>
      <c r="P24" s="1023">
        <v>2024</v>
      </c>
      <c r="Q24" s="1025">
        <f t="shared" si="0"/>
        <v>1.7535060530771018</v>
      </c>
    </row>
    <row r="25" spans="3:21">
      <c r="C25" s="934"/>
      <c r="D25" s="106"/>
      <c r="G25" t="s">
        <v>640</v>
      </c>
      <c r="H25">
        <f>22566.7*(1+$Q$3)</f>
        <v>34134.158543887854</v>
      </c>
      <c r="P25" s="1023">
        <v>2025</v>
      </c>
      <c r="Q25" s="1025">
        <f t="shared" si="0"/>
        <v>1.806111234669415</v>
      </c>
    </row>
    <row r="26" spans="3:21">
      <c r="C26" s="934"/>
      <c r="D26" s="106"/>
      <c r="G26" t="s">
        <v>641</v>
      </c>
      <c r="H26">
        <f>29212.9*(1+$Q$3)</f>
        <v>44187.132373219902</v>
      </c>
      <c r="P26" s="1023">
        <v>2026</v>
      </c>
      <c r="Q26" s="1025">
        <f t="shared" si="0"/>
        <v>1.8602945717094976</v>
      </c>
    </row>
    <row r="27" spans="3:21">
      <c r="C27" s="934"/>
      <c r="D27" s="106"/>
      <c r="G27" t="s">
        <v>642</v>
      </c>
      <c r="H27">
        <f>37310.2*(1+$Q$3)</f>
        <v>56435.025152289192</v>
      </c>
      <c r="P27" s="1023">
        <v>2027</v>
      </c>
      <c r="Q27" s="1025">
        <f t="shared" si="0"/>
        <v>1.9161034088607827</v>
      </c>
    </row>
    <row r="28" spans="3:21">
      <c r="C28" s="934"/>
      <c r="D28" s="106"/>
      <c r="P28" s="1023">
        <v>2028</v>
      </c>
      <c r="Q28" s="1025">
        <f t="shared" si="0"/>
        <v>1.9735865111266062</v>
      </c>
    </row>
    <row r="29" spans="3:21">
      <c r="C29" s="934"/>
      <c r="D29" s="106"/>
      <c r="P29" s="1023">
        <v>2029</v>
      </c>
      <c r="Q29" s="1025">
        <f t="shared" si="0"/>
        <v>2.0327941064604045</v>
      </c>
    </row>
    <row r="30" spans="3:21">
      <c r="C30" s="934"/>
      <c r="D30" s="106"/>
      <c r="P30" s="1023">
        <v>2030</v>
      </c>
      <c r="Q30" s="1025">
        <f t="shared" si="0"/>
        <v>2.0937779296542165</v>
      </c>
    </row>
    <row r="31" spans="3:21">
      <c r="P31" s="1023">
        <v>2031</v>
      </c>
      <c r="Q31" s="1025">
        <f t="shared" si="0"/>
        <v>2.1565912675438432</v>
      </c>
    </row>
    <row r="32" spans="3:21">
      <c r="P32" s="1023">
        <v>2032</v>
      </c>
      <c r="Q32" s="1025">
        <f t="shared" si="0"/>
        <v>2.2212890055701586</v>
      </c>
    </row>
    <row r="33" spans="16:17">
      <c r="P33" s="1023">
        <v>2033</v>
      </c>
      <c r="Q33" s="1025">
        <f t="shared" si="0"/>
        <v>2.2879276757372633</v>
      </c>
    </row>
    <row r="34" spans="16:17">
      <c r="P34" s="1023">
        <v>2034</v>
      </c>
      <c r="Q34" s="1025">
        <f t="shared" si="0"/>
        <v>2.3565655060093813</v>
      </c>
    </row>
    <row r="35" spans="16:17">
      <c r="P35" s="1023">
        <v>2035</v>
      </c>
      <c r="Q35" s="1025">
        <f t="shared" si="0"/>
        <v>2.4272624711896627</v>
      </c>
    </row>
    <row r="36" spans="16:17">
      <c r="P36" s="1023">
        <v>2036</v>
      </c>
      <c r="Q36" s="1025">
        <f t="shared" si="0"/>
        <v>2.5000803453253524</v>
      </c>
    </row>
    <row r="37" spans="16:17">
      <c r="P37" s="1023">
        <v>2037</v>
      </c>
      <c r="Q37" s="1025">
        <f t="shared" si="0"/>
        <v>2.5750827556851132</v>
      </c>
    </row>
    <row r="38" spans="16:17">
      <c r="P38" s="1023">
        <v>2038</v>
      </c>
      <c r="Q38" s="1025">
        <f t="shared" si="0"/>
        <v>2.6523352383556666</v>
      </c>
    </row>
    <row r="39" spans="16:17">
      <c r="P39" s="1023">
        <v>2039</v>
      </c>
      <c r="Q39" s="1025">
        <f t="shared" si="0"/>
        <v>2.7319052955063365</v>
      </c>
    </row>
    <row r="40" spans="16:17">
      <c r="P40" s="1026">
        <v>2040</v>
      </c>
      <c r="Q40" s="1027">
        <f t="shared" si="0"/>
        <v>2.8138624543715265</v>
      </c>
    </row>
  </sheetData>
  <sheetProtection algorithmName="SHA-512" hashValue="tpWm1Bxq+i6x1EjMkSwO3MsdOg0emp3ZpHwy4C+neir2J7a14FTYSC8HxT7X0m5kY41iMqCM0NudEFVr31s34w==" saltValue="7w5cHhU/PwZfxjXVKRavWw==" spinCount="100000" sheet="1" objects="1" scenarios="1"/>
  <sortState ref="T6:U17">
    <sortCondition ref="T6"/>
  </sortState>
  <customSheetViews>
    <customSheetView guid="{82538F0F-5202-4835-8386-243FA62C9FC1}" fitToPage="1" topLeftCell="C1">
      <selection activeCell="R3" sqref="R2:R3"/>
      <pageMargins left="0.45" right="0.75" top="0.56999999999999995" bottom="0.52" header="0.5" footer="0.5"/>
      <pageSetup orientation="portrait" r:id="rId1"/>
      <headerFooter alignWithMargins="0"/>
    </customSheetView>
  </customSheetViews>
  <phoneticPr fontId="103" type="noConversion"/>
  <pageMargins left="0.45" right="0.75" top="0.56999999999999995" bottom="0.52" header="0.5" footer="0.5"/>
  <pageSetup orientation="portrait" r:id="rId2"/>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V64"/>
  <sheetViews>
    <sheetView workbookViewId="0">
      <selection activeCell="C10" sqref="C10"/>
    </sheetView>
  </sheetViews>
  <sheetFormatPr defaultRowHeight="15.75"/>
  <cols>
    <col min="1" max="1" width="24.625" customWidth="1" collapsed="1"/>
    <col min="2" max="2" width="10.875" customWidth="1" collapsed="1"/>
    <col min="3" max="3" width="13.25" bestFit="1" customWidth="1" collapsed="1"/>
    <col min="4" max="4" width="11.375" bestFit="1" customWidth="1" collapsed="1"/>
    <col min="5" max="5" width="13.25" customWidth="1" collapsed="1"/>
    <col min="6" max="6" width="9.5" bestFit="1" customWidth="1" collapsed="1"/>
    <col min="7" max="7" width="10.375" bestFit="1" customWidth="1" collapsed="1"/>
    <col min="9" max="9" width="11.125" bestFit="1" customWidth="1" collapsed="1"/>
    <col min="10" max="10" width="13.75" bestFit="1" customWidth="1" collapsed="1"/>
    <col min="13" max="13" width="19.75" customWidth="1" collapsed="1"/>
    <col min="14" max="14" width="9.25" bestFit="1" customWidth="1" collapsed="1"/>
    <col min="15" max="15" width="10.25" bestFit="1" customWidth="1" collapsed="1"/>
    <col min="16" max="16" width="14.75" customWidth="1" collapsed="1"/>
    <col min="17" max="17" width="12" bestFit="1" customWidth="1" collapsed="1"/>
    <col min="19" max="19" width="14.25" customWidth="1" collapsed="1"/>
    <col min="20" max="20" width="12" bestFit="1" customWidth="1" collapsed="1"/>
    <col min="21" max="21" width="10.875" customWidth="1" collapsed="1"/>
    <col min="22" max="22" width="12.875" customWidth="1" collapsed="1"/>
  </cols>
  <sheetData>
    <row r="1" spans="1:22" ht="22.5">
      <c r="A1" s="1972" t="s">
        <v>463</v>
      </c>
      <c r="B1" s="1973"/>
      <c r="C1" s="1973"/>
      <c r="D1" s="1973"/>
      <c r="E1" s="1973"/>
      <c r="F1" s="1973"/>
      <c r="G1" s="1966" t="str">
        <f>'Facility Info'!F1</f>
        <v>Last Update:</v>
      </c>
      <c r="H1" s="1966"/>
      <c r="I1" s="1964">
        <f>'Facility Info'!G1</f>
        <v>43902</v>
      </c>
      <c r="J1" s="1965"/>
      <c r="K1" s="23"/>
      <c r="L1" s="23"/>
      <c r="M1" s="653" t="s">
        <v>462</v>
      </c>
      <c r="N1" s="23"/>
      <c r="O1" s="23"/>
      <c r="P1" s="23"/>
      <c r="Q1" s="23"/>
      <c r="R1" s="23"/>
      <c r="S1" s="23"/>
      <c r="T1" s="23"/>
      <c r="U1" s="23"/>
      <c r="V1" s="23"/>
    </row>
    <row r="2" spans="1:22" ht="23.25" thickBot="1">
      <c r="A2" s="649" t="str">
        <f>'Facility Info'!C6</f>
        <v>Facility Name:</v>
      </c>
      <c r="B2" s="650"/>
      <c r="C2" s="1967">
        <f>'Facility Info'!E6</f>
        <v>0</v>
      </c>
      <c r="D2" s="1968"/>
      <c r="E2" s="1968"/>
      <c r="F2" s="1968"/>
      <c r="G2" s="1971" t="str">
        <f>'Facility Info'!F2</f>
        <v>Today's Date:</v>
      </c>
      <c r="H2" s="1971"/>
      <c r="I2" s="1969">
        <f ca="1">'Facility Info'!G2</f>
        <v>43944.347985416665</v>
      </c>
      <c r="J2" s="1970"/>
      <c r="K2" s="23"/>
      <c r="L2" s="23"/>
      <c r="M2" s="654"/>
      <c r="N2" s="23"/>
      <c r="O2" s="23"/>
      <c r="P2" s="23"/>
      <c r="Q2" s="23"/>
      <c r="R2" s="23"/>
      <c r="S2" s="23"/>
      <c r="T2" s="23"/>
      <c r="U2" s="23"/>
      <c r="V2" s="23"/>
    </row>
    <row r="3" spans="1:22" ht="30.75">
      <c r="A3" s="655" t="s">
        <v>461</v>
      </c>
      <c r="B3" s="656"/>
      <c r="C3" s="657" t="s">
        <v>460</v>
      </c>
      <c r="D3" s="657" t="s">
        <v>459</v>
      </c>
      <c r="E3" s="656"/>
      <c r="F3" s="656"/>
      <c r="G3" s="658"/>
      <c r="H3" s="659"/>
      <c r="I3" s="660" t="s">
        <v>458</v>
      </c>
      <c r="J3" s="661" t="s">
        <v>457</v>
      </c>
      <c r="K3" s="23"/>
      <c r="L3" s="23"/>
      <c r="M3" s="662" t="s">
        <v>456</v>
      </c>
      <c r="N3" s="663"/>
      <c r="O3" s="664"/>
      <c r="P3" s="664"/>
      <c r="Q3" s="665"/>
      <c r="R3" s="666"/>
      <c r="S3" s="662" t="s">
        <v>455</v>
      </c>
      <c r="T3" s="663"/>
      <c r="U3" s="665"/>
      <c r="V3" s="23"/>
    </row>
    <row r="4" spans="1:22" ht="16.5">
      <c r="A4" s="569"/>
      <c r="B4" s="667"/>
      <c r="C4" s="668"/>
      <c r="D4" s="669"/>
      <c r="E4" s="667"/>
      <c r="F4" s="667"/>
      <c r="G4" s="670"/>
      <c r="H4" s="671"/>
      <c r="I4" s="670"/>
      <c r="J4" s="672"/>
      <c r="K4" s="23"/>
      <c r="L4" s="23"/>
      <c r="M4" s="673" t="s">
        <v>430</v>
      </c>
      <c r="N4" s="674" t="s">
        <v>454</v>
      </c>
      <c r="O4" s="675" t="s">
        <v>453</v>
      </c>
      <c r="P4" s="675" t="s">
        <v>452</v>
      </c>
      <c r="Q4" s="676" t="s">
        <v>451</v>
      </c>
      <c r="R4" s="677"/>
      <c r="S4" s="678" t="s">
        <v>430</v>
      </c>
      <c r="T4" s="679"/>
      <c r="U4" s="680"/>
      <c r="V4" s="23"/>
    </row>
    <row r="5" spans="1:22" ht="16.5">
      <c r="A5" s="681" t="s">
        <v>450</v>
      </c>
      <c r="B5" s="667">
        <v>1</v>
      </c>
      <c r="C5" s="682">
        <f>'Facility Info'!E33</f>
        <v>0</v>
      </c>
      <c r="D5" s="669"/>
      <c r="E5" s="667"/>
      <c r="F5" s="667"/>
      <c r="G5" s="670"/>
      <c r="H5" s="671"/>
      <c r="I5" s="670"/>
      <c r="J5" s="672"/>
      <c r="K5" s="23"/>
      <c r="L5" s="23"/>
      <c r="M5" s="683">
        <f>+EMS!C2</f>
        <v>0</v>
      </c>
      <c r="N5" s="684">
        <f>+EMS!C5</f>
        <v>0</v>
      </c>
      <c r="O5" s="684">
        <f>IF(N5&gt;0,N5,0)</f>
        <v>0</v>
      </c>
      <c r="P5" s="685" t="s">
        <v>414</v>
      </c>
      <c r="Q5" s="686">
        <f>+O5</f>
        <v>0</v>
      </c>
      <c r="R5" s="69"/>
      <c r="S5" s="687" t="s">
        <v>449</v>
      </c>
      <c r="T5" s="688"/>
      <c r="U5" s="689"/>
      <c r="V5" s="23"/>
    </row>
    <row r="6" spans="1:22" ht="16.5">
      <c r="A6" s="690" t="s">
        <v>448</v>
      </c>
      <c r="B6" s="667">
        <v>2</v>
      </c>
      <c r="C6" s="691">
        <v>0</v>
      </c>
      <c r="D6" s="692">
        <f>+EMS!Q15</f>
        <v>1</v>
      </c>
      <c r="E6" s="667"/>
      <c r="F6" s="667"/>
      <c r="G6" s="45"/>
      <c r="H6" s="671"/>
      <c r="I6" s="670"/>
      <c r="J6" s="672"/>
      <c r="K6" s="23"/>
      <c r="L6" s="23"/>
      <c r="M6" s="693"/>
      <c r="N6" s="571"/>
      <c r="O6" s="571"/>
      <c r="P6" s="571"/>
      <c r="Q6" s="694"/>
      <c r="R6" s="695"/>
      <c r="S6" s="696" t="s">
        <v>447</v>
      </c>
      <c r="T6" s="697">
        <v>3000</v>
      </c>
      <c r="U6" s="698"/>
      <c r="V6" s="23"/>
    </row>
    <row r="7" spans="1:22" ht="16.5">
      <c r="A7" s="690"/>
      <c r="B7" s="667"/>
      <c r="C7" s="699"/>
      <c r="D7" s="700"/>
      <c r="E7" s="667"/>
      <c r="F7" s="667"/>
      <c r="G7" s="701" t="s">
        <v>329</v>
      </c>
      <c r="H7" s="671"/>
      <c r="I7" s="670"/>
      <c r="J7" s="672"/>
      <c r="K7" s="23"/>
      <c r="L7" s="23"/>
      <c r="M7" s="702" t="s">
        <v>446</v>
      </c>
      <c r="N7" s="703"/>
      <c r="O7" s="704"/>
      <c r="P7" s="704"/>
      <c r="Q7" s="705"/>
      <c r="R7" s="706"/>
      <c r="S7" s="569"/>
      <c r="T7" s="45"/>
      <c r="U7" s="570"/>
      <c r="V7" s="23"/>
    </row>
    <row r="8" spans="1:22" ht="16.5">
      <c r="A8" s="707"/>
      <c r="B8" s="708"/>
      <c r="C8" s="708"/>
      <c r="D8" s="709"/>
      <c r="E8" s="2001" t="s">
        <v>371</v>
      </c>
      <c r="F8" s="2000"/>
      <c r="G8" s="710">
        <f>+EMS!N62</f>
        <v>0</v>
      </c>
      <c r="H8" s="711" t="s">
        <v>406</v>
      </c>
      <c r="I8" s="712">
        <f>+EMS!N41</f>
        <v>30000</v>
      </c>
      <c r="J8" s="713">
        <f>+G8*I8</f>
        <v>0</v>
      </c>
      <c r="K8" s="23"/>
      <c r="L8" s="23"/>
      <c r="M8" s="714" t="s">
        <v>445</v>
      </c>
      <c r="N8" s="715" t="s">
        <v>414</v>
      </c>
      <c r="O8" s="716"/>
      <c r="P8" s="717">
        <f>Q9*Q5</f>
        <v>0</v>
      </c>
      <c r="Q8" s="717">
        <f>IF(P8&gt;T6,P8,0)</f>
        <v>0</v>
      </c>
      <c r="R8" s="706"/>
      <c r="S8" s="687" t="s">
        <v>444</v>
      </c>
      <c r="T8" s="688"/>
      <c r="U8" s="689"/>
      <c r="V8" s="23"/>
    </row>
    <row r="9" spans="1:22" ht="16.5">
      <c r="A9" s="718" t="s">
        <v>443</v>
      </c>
      <c r="B9" s="667"/>
      <c r="C9" s="671"/>
      <c r="D9" s="719"/>
      <c r="E9" s="2002" t="s">
        <v>370</v>
      </c>
      <c r="F9" s="2003"/>
      <c r="G9" s="720">
        <f>+EMS!O62</f>
        <v>0</v>
      </c>
      <c r="H9" s="667" t="s">
        <v>406</v>
      </c>
      <c r="I9" s="721">
        <f>+EMS!N42</f>
        <v>30000</v>
      </c>
      <c r="J9" s="722">
        <f>+G9*I9</f>
        <v>0</v>
      </c>
      <c r="K9" s="23"/>
      <c r="L9" s="23"/>
      <c r="M9" s="714" t="s">
        <v>442</v>
      </c>
      <c r="N9" s="723" t="s">
        <v>414</v>
      </c>
      <c r="O9" s="724">
        <f>1-O15</f>
        <v>1</v>
      </c>
      <c r="P9" s="724">
        <f>1-P15</f>
        <v>0</v>
      </c>
      <c r="Q9" s="725">
        <f>1-Q15</f>
        <v>0</v>
      </c>
      <c r="R9" s="706"/>
      <c r="S9" s="696" t="s">
        <v>441</v>
      </c>
      <c r="T9" s="726">
        <v>131</v>
      </c>
      <c r="U9" s="698"/>
      <c r="V9" s="23"/>
    </row>
    <row r="10" spans="1:22">
      <c r="A10" s="727" t="s">
        <v>440</v>
      </c>
      <c r="B10" s="667">
        <v>3</v>
      </c>
      <c r="C10" s="682">
        <f>'Facility Info'!J38</f>
        <v>0</v>
      </c>
      <c r="D10" s="728">
        <f>+EMS!Q10</f>
        <v>0</v>
      </c>
      <c r="E10" s="2004" t="s">
        <v>369</v>
      </c>
      <c r="F10" s="2003"/>
      <c r="G10" s="720">
        <f>+EMS!P62</f>
        <v>0</v>
      </c>
      <c r="H10" s="667" t="s">
        <v>406</v>
      </c>
      <c r="I10" s="721">
        <f>+EMS!N43</f>
        <v>25000</v>
      </c>
      <c r="J10" s="722">
        <f>+G10*I10</f>
        <v>0</v>
      </c>
      <c r="K10" s="23"/>
      <c r="L10" s="23"/>
      <c r="M10" s="714" t="s">
        <v>440</v>
      </c>
      <c r="N10" s="684">
        <f>+EMS!C10</f>
        <v>0</v>
      </c>
      <c r="O10" s="685">
        <f>IF(N10="unspecified",0,IF(N10&gt;0,N10,0))</f>
        <v>0</v>
      </c>
      <c r="P10" s="685">
        <f>+P8/6.6</f>
        <v>0</v>
      </c>
      <c r="Q10" s="729">
        <f>IF(Q15&gt;0.95,0,IF(O10&gt;0,O10,P10))</f>
        <v>0</v>
      </c>
      <c r="R10" s="730"/>
      <c r="S10" s="569"/>
      <c r="T10" s="45"/>
      <c r="U10" s="570"/>
      <c r="V10" s="23"/>
    </row>
    <row r="11" spans="1:22" ht="16.5">
      <c r="A11" s="727" t="s">
        <v>439</v>
      </c>
      <c r="B11" s="667">
        <v>4</v>
      </c>
      <c r="C11" s="651"/>
      <c r="D11" s="731">
        <f>+EMS!Q11</f>
        <v>0</v>
      </c>
      <c r="E11" s="2002" t="s">
        <v>368</v>
      </c>
      <c r="F11" s="2003"/>
      <c r="G11" s="720">
        <f>+EMS!Q62</f>
        <v>0</v>
      </c>
      <c r="H11" s="667" t="s">
        <v>406</v>
      </c>
      <c r="I11" s="721">
        <f>+EMS!N44</f>
        <v>40000</v>
      </c>
      <c r="J11" s="722">
        <f>+G11*I11</f>
        <v>0</v>
      </c>
      <c r="K11" s="23"/>
      <c r="L11" s="23"/>
      <c r="M11" s="714" t="s">
        <v>439</v>
      </c>
      <c r="N11" s="684">
        <f>+EMS!C11</f>
        <v>0</v>
      </c>
      <c r="O11" s="685">
        <f>IF(N11="unspecified",0,IF(N11&gt;0,N11,0))</f>
        <v>0</v>
      </c>
      <c r="P11" s="685">
        <f>+P8/1000*T9</f>
        <v>0</v>
      </c>
      <c r="Q11" s="729">
        <f>IF(Q15=1,0,IF(O11&gt;0,IF(O11&gt;+P11,O11,P11),+P11))</f>
        <v>0</v>
      </c>
      <c r="R11" s="732"/>
      <c r="S11" s="733" t="s">
        <v>438</v>
      </c>
      <c r="T11" s="734"/>
      <c r="U11" s="735"/>
      <c r="V11" s="23"/>
    </row>
    <row r="12" spans="1:22" ht="16.5">
      <c r="A12" s="736" t="s">
        <v>437</v>
      </c>
      <c r="B12" s="737"/>
      <c r="C12" s="737"/>
      <c r="D12" s="738"/>
      <c r="E12" s="739" t="s">
        <v>436</v>
      </c>
      <c r="F12" s="740"/>
      <c r="G12" s="741">
        <f>+EMS!S62</f>
        <v>0</v>
      </c>
      <c r="H12" s="742" t="s">
        <v>406</v>
      </c>
      <c r="I12" s="743">
        <f>IF(G12&gt;0,J12/G12,0)</f>
        <v>0</v>
      </c>
      <c r="J12" s="744">
        <f>SUM(J8:J11)</f>
        <v>0</v>
      </c>
      <c r="K12" s="23"/>
      <c r="L12" s="23"/>
      <c r="M12" s="745" t="s">
        <v>430</v>
      </c>
      <c r="N12" s="746"/>
      <c r="O12" s="747"/>
      <c r="P12" s="747"/>
      <c r="Q12" s="748"/>
      <c r="R12" s="732"/>
      <c r="S12" s="749" t="s">
        <v>396</v>
      </c>
      <c r="T12" s="684">
        <v>3250</v>
      </c>
      <c r="U12" s="735"/>
      <c r="V12" s="23"/>
    </row>
    <row r="13" spans="1:22" ht="16.5">
      <c r="A13" s="750" t="s">
        <v>435</v>
      </c>
      <c r="B13" s="711"/>
      <c r="C13" s="709"/>
      <c r="D13" s="709"/>
      <c r="E13" s="1999"/>
      <c r="F13" s="2000"/>
      <c r="G13" s="751"/>
      <c r="H13" s="711"/>
      <c r="I13" s="711"/>
      <c r="J13" s="752"/>
      <c r="K13" s="23"/>
      <c r="L13" s="23"/>
      <c r="M13" s="745" t="s">
        <v>430</v>
      </c>
      <c r="N13" s="746"/>
      <c r="O13" s="747"/>
      <c r="P13" s="747"/>
      <c r="Q13" s="748"/>
      <c r="R13" s="695"/>
      <c r="S13" s="753"/>
      <c r="T13" s="754"/>
      <c r="U13" s="735"/>
      <c r="V13" s="23"/>
    </row>
    <row r="14" spans="1:22" ht="16.5">
      <c r="A14" s="727" t="s">
        <v>421</v>
      </c>
      <c r="B14" s="667">
        <v>5</v>
      </c>
      <c r="C14" s="651"/>
      <c r="D14" s="755">
        <f>+EMS!Q17</f>
        <v>0</v>
      </c>
      <c r="E14" s="667"/>
      <c r="F14" s="667"/>
      <c r="G14" s="667"/>
      <c r="H14" s="667"/>
      <c r="I14" s="667"/>
      <c r="J14" s="756"/>
      <c r="K14" s="23"/>
      <c r="L14" s="23"/>
      <c r="M14" s="702" t="s">
        <v>434</v>
      </c>
      <c r="N14" s="746"/>
      <c r="O14" s="747"/>
      <c r="P14" s="747"/>
      <c r="Q14" s="748"/>
      <c r="R14" s="695"/>
      <c r="S14" s="757"/>
      <c r="T14" s="758" t="s">
        <v>433</v>
      </c>
      <c r="U14" s="759" t="s">
        <v>432</v>
      </c>
      <c r="V14" s="23"/>
    </row>
    <row r="15" spans="1:22">
      <c r="A15" s="727" t="s">
        <v>431</v>
      </c>
      <c r="B15" s="667">
        <v>6</v>
      </c>
      <c r="C15" s="652"/>
      <c r="D15" s="760">
        <f>+EMS!Q19</f>
        <v>500</v>
      </c>
      <c r="E15" s="761" t="s">
        <v>430</v>
      </c>
      <c r="F15" s="762" t="s">
        <v>418</v>
      </c>
      <c r="G15" s="763" t="s">
        <v>429</v>
      </c>
      <c r="H15" s="764"/>
      <c r="I15" s="762" t="s">
        <v>428</v>
      </c>
      <c r="J15" s="756"/>
      <c r="K15" s="23"/>
      <c r="L15" s="23"/>
      <c r="M15" s="714" t="s">
        <v>427</v>
      </c>
      <c r="N15" s="765">
        <f>+EMS!C6</f>
        <v>0</v>
      </c>
      <c r="O15" s="766">
        <f>IF(N15="unspecified",IF(P18&gt;0,P18,1),IF(N15&gt;=0,N15,1))</f>
        <v>0</v>
      </c>
      <c r="P15" s="767">
        <f>IF((1-O15)*Q5&gt;T6,O15,1)</f>
        <v>1</v>
      </c>
      <c r="Q15" s="725">
        <f>P15</f>
        <v>1</v>
      </c>
      <c r="R15" s="69"/>
      <c r="S15" s="749" t="s">
        <v>426</v>
      </c>
      <c r="T15" s="768">
        <f>0.4*2.5</f>
        <v>1</v>
      </c>
      <c r="U15" s="769">
        <f>0</f>
        <v>0</v>
      </c>
      <c r="V15" s="23"/>
    </row>
    <row r="16" spans="1:22" ht="16.5">
      <c r="A16" s="736" t="s">
        <v>425</v>
      </c>
      <c r="B16" s="742"/>
      <c r="C16" s="770"/>
      <c r="D16" s="742"/>
      <c r="E16" s="739" t="s">
        <v>424</v>
      </c>
      <c r="F16" s="771">
        <f>+EMS!Q17</f>
        <v>0</v>
      </c>
      <c r="G16" s="771">
        <f>ROUNDUP(F16,0)</f>
        <v>0</v>
      </c>
      <c r="H16" s="742" t="s">
        <v>406</v>
      </c>
      <c r="I16" s="743">
        <f>+EMS!Q19</f>
        <v>500</v>
      </c>
      <c r="J16" s="744">
        <f>+G16*I16</f>
        <v>0</v>
      </c>
      <c r="K16" s="23"/>
      <c r="L16" s="23"/>
      <c r="M16" s="714" t="s">
        <v>423</v>
      </c>
      <c r="N16" s="715" t="s">
        <v>414</v>
      </c>
      <c r="O16" s="716"/>
      <c r="P16" s="772"/>
      <c r="Q16" s="773">
        <f>+Q5-Q8</f>
        <v>0</v>
      </c>
      <c r="R16" s="774"/>
      <c r="S16" s="696" t="s">
        <v>422</v>
      </c>
      <c r="T16" s="768">
        <v>0.45</v>
      </c>
      <c r="U16" s="775">
        <v>2</v>
      </c>
      <c r="V16" s="23"/>
    </row>
    <row r="17" spans="1:22" ht="16.5">
      <c r="A17" s="776"/>
      <c r="B17" s="711"/>
      <c r="C17" s="709"/>
      <c r="D17" s="777"/>
      <c r="E17" s="667"/>
      <c r="F17" s="667"/>
      <c r="G17" s="667"/>
      <c r="H17" s="667"/>
      <c r="I17" s="667"/>
      <c r="J17" s="778"/>
      <c r="K17" s="23"/>
      <c r="L17" s="23"/>
      <c r="M17" s="714" t="s">
        <v>421</v>
      </c>
      <c r="N17" s="684">
        <f>+EMS!C14</f>
        <v>0</v>
      </c>
      <c r="O17" s="685">
        <f>IF(N17="unspecified",0,IF(N17&gt;0,N17,0))</f>
        <v>0</v>
      </c>
      <c r="P17" s="779">
        <f>+Q16/1000*T9</f>
        <v>0</v>
      </c>
      <c r="Q17" s="729">
        <f>IF(Q15&lt;0.001,0,IF(O17&gt;0,IF(O17&gt;+P17,O17,P17),+P17))</f>
        <v>0</v>
      </c>
      <c r="R17" s="730"/>
      <c r="S17" s="569"/>
      <c r="T17" s="45" t="s">
        <v>420</v>
      </c>
      <c r="U17" s="570"/>
      <c r="V17" s="23"/>
    </row>
    <row r="18" spans="1:22" ht="16.5">
      <c r="A18" s="690" t="s">
        <v>419</v>
      </c>
      <c r="B18" s="667">
        <v>7</v>
      </c>
      <c r="C18" s="652"/>
      <c r="D18" s="760">
        <f>+EMS!Q22</f>
        <v>10000</v>
      </c>
      <c r="E18" s="761"/>
      <c r="F18" s="762" t="s">
        <v>418</v>
      </c>
      <c r="G18" s="763" t="s">
        <v>417</v>
      </c>
      <c r="H18" s="764"/>
      <c r="I18" s="762" t="s">
        <v>416</v>
      </c>
      <c r="J18" s="780"/>
      <c r="K18" s="23"/>
      <c r="L18" s="23"/>
      <c r="M18" s="781" t="s">
        <v>415</v>
      </c>
      <c r="N18" s="782" t="s">
        <v>414</v>
      </c>
      <c r="O18" s="783">
        <f>+O11+O17</f>
        <v>0</v>
      </c>
      <c r="P18" s="784">
        <f>IF(O18&gt;0,O17/O18,0)</f>
        <v>0</v>
      </c>
      <c r="Q18" s="785" t="s">
        <v>414</v>
      </c>
      <c r="R18" s="786"/>
      <c r="S18" s="733" t="s">
        <v>413</v>
      </c>
      <c r="T18" s="734"/>
      <c r="U18" s="787"/>
      <c r="V18" s="23"/>
    </row>
    <row r="19" spans="1:22" ht="16.5">
      <c r="A19" s="788" t="s">
        <v>412</v>
      </c>
      <c r="B19" s="742"/>
      <c r="C19" s="789"/>
      <c r="D19" s="742"/>
      <c r="E19" s="739" t="s">
        <v>411</v>
      </c>
      <c r="F19" s="790">
        <f>+EMS!S62/EMS!T36</f>
        <v>0</v>
      </c>
      <c r="G19" s="791">
        <f>IF(EMS!Q15=1,0,ROUNDUP(IF(+F19&lt;2,2,F19),0))</f>
        <v>0</v>
      </c>
      <c r="H19" s="742" t="s">
        <v>406</v>
      </c>
      <c r="I19" s="791">
        <f>+EMS!Q22</f>
        <v>10000</v>
      </c>
      <c r="J19" s="792">
        <f>+G19*I19</f>
        <v>0</v>
      </c>
      <c r="K19" s="23"/>
      <c r="L19" s="23"/>
      <c r="M19" s="781" t="s">
        <v>410</v>
      </c>
      <c r="N19" s="684">
        <f>+EMS!C15</f>
        <v>0</v>
      </c>
      <c r="O19" s="685">
        <f>IF(N19="unspecified",T41,IF(N19&gt;0,N19,T41))</f>
        <v>500</v>
      </c>
      <c r="P19" s="793">
        <f>+T41</f>
        <v>500</v>
      </c>
      <c r="Q19" s="794">
        <f>IF(O19&gt;0,IF(O19&lt;1500,O19,T41),T41)</f>
        <v>500</v>
      </c>
      <c r="R19" s="69"/>
      <c r="S19" s="749" t="s">
        <v>396</v>
      </c>
      <c r="T19" s="684">
        <v>15540</v>
      </c>
      <c r="U19" s="787"/>
      <c r="V19" s="23"/>
    </row>
    <row r="20" spans="1:22" ht="16.5">
      <c r="A20" s="795"/>
      <c r="B20" s="711"/>
      <c r="C20" s="777"/>
      <c r="D20" s="711"/>
      <c r="E20" s="667"/>
      <c r="F20" s="667"/>
      <c r="G20" s="667"/>
      <c r="H20" s="667"/>
      <c r="I20" s="667"/>
      <c r="J20" s="778"/>
      <c r="K20" s="23"/>
      <c r="L20" s="23"/>
      <c r="M20" s="693"/>
      <c r="N20" s="571"/>
      <c r="O20" s="571"/>
      <c r="P20" s="571"/>
      <c r="Q20" s="694"/>
      <c r="R20" s="796"/>
      <c r="S20" s="753"/>
      <c r="T20" s="754"/>
      <c r="U20" s="735"/>
      <c r="V20" s="23"/>
    </row>
    <row r="21" spans="1:22" ht="16.5">
      <c r="A21" s="788" t="s">
        <v>409</v>
      </c>
      <c r="B21" s="742"/>
      <c r="C21" s="789"/>
      <c r="D21" s="742"/>
      <c r="E21" s="739" t="s">
        <v>408</v>
      </c>
      <c r="F21" s="797" t="s">
        <v>407</v>
      </c>
      <c r="G21" s="798"/>
      <c r="H21" s="742" t="s">
        <v>406</v>
      </c>
      <c r="I21" s="799">
        <f>+EMS!T44</f>
        <v>0.3</v>
      </c>
      <c r="J21" s="792">
        <f>+I21*(J12+J16+J19)</f>
        <v>0</v>
      </c>
      <c r="K21" s="23"/>
      <c r="L21" s="23"/>
      <c r="M21" s="702" t="s">
        <v>405</v>
      </c>
      <c r="N21" s="571"/>
      <c r="O21" s="747"/>
      <c r="P21" s="747"/>
      <c r="Q21" s="748"/>
      <c r="R21" s="774"/>
      <c r="S21" s="757"/>
      <c r="T21" s="758" t="s">
        <v>404</v>
      </c>
      <c r="U21" s="759" t="s">
        <v>394</v>
      </c>
      <c r="V21" s="23"/>
    </row>
    <row r="22" spans="1:22" ht="16.5" thickBot="1">
      <c r="A22" s="800"/>
      <c r="B22" s="801"/>
      <c r="C22" s="801"/>
      <c r="D22" s="801"/>
      <c r="E22" s="802"/>
      <c r="F22" s="801"/>
      <c r="G22" s="803" t="s">
        <v>329</v>
      </c>
      <c r="H22" s="804"/>
      <c r="I22" s="805"/>
      <c r="J22" s="806" t="s">
        <v>403</v>
      </c>
      <c r="K22" s="23"/>
      <c r="L22" s="23"/>
      <c r="M22" s="807" t="str">
        <f>+EMS!A18</f>
        <v>ANNUAL LEASE $ EACH</v>
      </c>
      <c r="N22" s="808">
        <f>+EMS!C18</f>
        <v>0</v>
      </c>
      <c r="O22" s="809">
        <f>IF(N22="unspecified",T38,N22)</f>
        <v>0</v>
      </c>
      <c r="P22" s="809">
        <f>+T38</f>
        <v>10000</v>
      </c>
      <c r="Q22" s="810">
        <f>IF(O22&gt;2000,IF(O22&lt;40000,O22,T38),T38)</f>
        <v>10000</v>
      </c>
      <c r="R22" s="774"/>
      <c r="S22" s="749" t="s">
        <v>402</v>
      </c>
      <c r="T22" s="811">
        <v>0.31900000000000001</v>
      </c>
      <c r="U22" s="769">
        <v>0</v>
      </c>
      <c r="V22" s="23"/>
    </row>
    <row r="23" spans="1:22" ht="17.25" thickBot="1">
      <c r="A23" s="812" t="s">
        <v>401</v>
      </c>
      <c r="B23" s="813"/>
      <c r="C23" s="813"/>
      <c r="D23" s="813"/>
      <c r="E23" s="814"/>
      <c r="F23" s="813"/>
      <c r="G23" s="815">
        <f>+EMS!N53</f>
        <v>0</v>
      </c>
      <c r="H23" s="816"/>
      <c r="I23" s="816"/>
      <c r="J23" s="817">
        <f>SUM(J12:J21)</f>
        <v>0</v>
      </c>
      <c r="K23" s="23"/>
      <c r="L23" s="23"/>
      <c r="M23" s="23"/>
      <c r="N23" s="23"/>
      <c r="O23" s="23"/>
      <c r="P23" s="23"/>
      <c r="Q23" s="23"/>
      <c r="R23" s="774"/>
      <c r="S23" s="696" t="s">
        <v>400</v>
      </c>
      <c r="T23" s="811">
        <v>0.183</v>
      </c>
      <c r="U23" s="775">
        <v>2.25</v>
      </c>
      <c r="V23" s="23"/>
    </row>
    <row r="24" spans="1:22" ht="17.25" thickBot="1">
      <c r="A24" s="812" t="s">
        <v>399</v>
      </c>
      <c r="B24" s="813"/>
      <c r="C24" s="813"/>
      <c r="D24" s="813"/>
      <c r="E24" s="814"/>
      <c r="F24" s="813"/>
      <c r="G24" s="815" t="e">
        <f>+G23/(C5/1000)</f>
        <v>#DIV/0!</v>
      </c>
      <c r="H24" s="816"/>
      <c r="I24" s="816"/>
      <c r="J24" s="818" t="e">
        <f>+J23/C5</f>
        <v>#DIV/0!</v>
      </c>
      <c r="K24" s="23"/>
      <c r="L24" s="23"/>
      <c r="M24" s="23"/>
      <c r="N24" s="23"/>
      <c r="O24" s="23"/>
      <c r="P24" s="23"/>
      <c r="Q24" s="23"/>
      <c r="R24" s="69"/>
      <c r="S24" s="569"/>
      <c r="T24" s="45"/>
      <c r="U24" s="570"/>
      <c r="V24" s="23"/>
    </row>
    <row r="25" spans="1:22" ht="16.5" customHeight="1">
      <c r="A25" s="23"/>
      <c r="B25" s="23"/>
      <c r="C25" s="23"/>
      <c r="D25" s="23"/>
      <c r="E25" s="23"/>
      <c r="F25" s="23"/>
      <c r="G25" s="23"/>
      <c r="H25" s="23"/>
      <c r="I25" s="23"/>
      <c r="J25" s="23"/>
      <c r="K25" s="23"/>
      <c r="L25" s="23"/>
      <c r="M25" s="1981" t="s">
        <v>398</v>
      </c>
      <c r="N25" s="1982"/>
      <c r="O25" s="1982"/>
      <c r="P25" s="1982"/>
      <c r="Q25" s="1983"/>
      <c r="R25" s="45"/>
      <c r="S25" s="733" t="s">
        <v>397</v>
      </c>
      <c r="T25" s="734"/>
      <c r="U25" s="787"/>
      <c r="V25" s="23"/>
    </row>
    <row r="26" spans="1:22">
      <c r="A26" s="23"/>
      <c r="B26" s="23"/>
      <c r="C26" s="23"/>
      <c r="D26" s="23"/>
      <c r="E26" s="23"/>
      <c r="F26" s="23"/>
      <c r="G26" s="23"/>
      <c r="H26" s="23"/>
      <c r="I26" s="23"/>
      <c r="J26" s="23"/>
      <c r="K26" s="23"/>
      <c r="L26" s="23"/>
      <c r="M26" s="1984"/>
      <c r="N26" s="1985"/>
      <c r="O26" s="1985"/>
      <c r="P26" s="1985"/>
      <c r="Q26" s="1986"/>
      <c r="R26" s="45"/>
      <c r="S26" s="749" t="s">
        <v>396</v>
      </c>
      <c r="T26" s="819">
        <v>1250</v>
      </c>
      <c r="U26" s="787"/>
      <c r="V26" s="23"/>
    </row>
    <row r="27" spans="1:22">
      <c r="A27" s="23"/>
      <c r="B27" s="23"/>
      <c r="C27" s="23"/>
      <c r="D27" s="23"/>
      <c r="E27" s="23"/>
      <c r="F27" s="23"/>
      <c r="G27" s="23"/>
      <c r="H27" s="23"/>
      <c r="I27" s="23"/>
      <c r="J27" s="23"/>
      <c r="K27" s="23"/>
      <c r="L27" s="23"/>
      <c r="M27" s="1984"/>
      <c r="N27" s="1985"/>
      <c r="O27" s="1985"/>
      <c r="P27" s="1985"/>
      <c r="Q27" s="1986"/>
      <c r="R27" s="45"/>
      <c r="S27" s="753"/>
      <c r="T27" s="754"/>
      <c r="U27" s="735"/>
      <c r="V27" s="23"/>
    </row>
    <row r="28" spans="1:22">
      <c r="A28" s="23"/>
      <c r="B28" s="23"/>
      <c r="C28" s="23"/>
      <c r="D28" s="23"/>
      <c r="E28" s="23"/>
      <c r="F28" s="23"/>
      <c r="G28" s="23"/>
      <c r="H28" s="23"/>
      <c r="I28" s="23"/>
      <c r="J28" s="23"/>
      <c r="K28" s="23"/>
      <c r="L28" s="23"/>
      <c r="M28" s="1984"/>
      <c r="N28" s="1985"/>
      <c r="O28" s="1985"/>
      <c r="P28" s="1985"/>
      <c r="Q28" s="1986"/>
      <c r="R28" s="23"/>
      <c r="S28" s="757"/>
      <c r="T28" s="758" t="s">
        <v>395</v>
      </c>
      <c r="U28" s="759" t="s">
        <v>394</v>
      </c>
      <c r="V28" s="23"/>
    </row>
    <row r="29" spans="1:22">
      <c r="A29" s="23"/>
      <c r="B29" s="23"/>
      <c r="C29" s="820"/>
      <c r="D29" s="23"/>
      <c r="E29" s="23"/>
      <c r="F29" s="23"/>
      <c r="G29" s="23"/>
      <c r="H29" s="23"/>
      <c r="I29" s="23"/>
      <c r="J29" s="23"/>
      <c r="K29" s="23"/>
      <c r="L29" s="23"/>
      <c r="M29" s="1984"/>
      <c r="N29" s="1985"/>
      <c r="O29" s="1985"/>
      <c r="P29" s="1985"/>
      <c r="Q29" s="1986"/>
      <c r="R29" s="23"/>
      <c r="S29" s="749" t="s">
        <v>393</v>
      </c>
      <c r="T29" s="821">
        <f>2.5*2.5</f>
        <v>6.25</v>
      </c>
      <c r="U29" s="769">
        <v>0</v>
      </c>
      <c r="V29" s="23"/>
    </row>
    <row r="30" spans="1:22">
      <c r="A30" s="23"/>
      <c r="B30" s="23"/>
      <c r="C30" s="23"/>
      <c r="D30" s="23"/>
      <c r="E30" s="23"/>
      <c r="F30" s="23"/>
      <c r="G30" s="23"/>
      <c r="H30" s="23"/>
      <c r="I30" s="23"/>
      <c r="J30" s="23"/>
      <c r="K30" s="23"/>
      <c r="L30" s="23"/>
      <c r="M30" s="1984"/>
      <c r="N30" s="1985"/>
      <c r="O30" s="1985"/>
      <c r="P30" s="1985"/>
      <c r="Q30" s="1986"/>
      <c r="R30" s="23"/>
      <c r="S30" s="696" t="s">
        <v>392</v>
      </c>
      <c r="T30" s="768">
        <v>3.5</v>
      </c>
      <c r="U30" s="775">
        <v>3.5</v>
      </c>
      <c r="V30" s="23"/>
    </row>
    <row r="31" spans="1:22">
      <c r="A31" s="23"/>
      <c r="B31" s="23"/>
      <c r="C31" s="23"/>
      <c r="D31" s="23"/>
      <c r="E31" s="23"/>
      <c r="F31" s="23"/>
      <c r="G31" s="23"/>
      <c r="H31" s="23"/>
      <c r="I31" s="23"/>
      <c r="J31" s="23"/>
      <c r="K31" s="23"/>
      <c r="L31" s="23"/>
      <c r="M31" s="1984"/>
      <c r="N31" s="1985"/>
      <c r="O31" s="1985"/>
      <c r="P31" s="1985"/>
      <c r="Q31" s="1986"/>
      <c r="R31" s="23"/>
      <c r="S31" s="569"/>
      <c r="T31" s="45"/>
      <c r="U31" s="570"/>
      <c r="V31" s="23"/>
    </row>
    <row r="32" spans="1:22" ht="16.5">
      <c r="A32" s="822"/>
      <c r="B32" s="23"/>
      <c r="C32" s="23"/>
      <c r="D32" s="23"/>
      <c r="E32" s="23"/>
      <c r="F32" s="23"/>
      <c r="G32" s="23"/>
      <c r="H32" s="23"/>
      <c r="I32" s="23"/>
      <c r="J32" s="23"/>
      <c r="K32" s="23"/>
      <c r="L32" s="23"/>
      <c r="M32" s="1984"/>
      <c r="N32" s="1985"/>
      <c r="O32" s="1985"/>
      <c r="P32" s="1985"/>
      <c r="Q32" s="1986"/>
      <c r="R32" s="23"/>
      <c r="S32" s="687" t="s">
        <v>391</v>
      </c>
      <c r="T32" s="688"/>
      <c r="U32" s="689"/>
      <c r="V32" s="23"/>
    </row>
    <row r="33" spans="1:22">
      <c r="A33" s="823"/>
      <c r="B33" s="23"/>
      <c r="C33" s="23"/>
      <c r="D33" s="23"/>
      <c r="E33" s="23"/>
      <c r="F33" s="23"/>
      <c r="G33" s="23"/>
      <c r="H33" s="23"/>
      <c r="I33" s="23"/>
      <c r="J33" s="23"/>
      <c r="K33" s="23"/>
      <c r="L33" s="23"/>
      <c r="M33" s="1984"/>
      <c r="N33" s="1985"/>
      <c r="O33" s="1985"/>
      <c r="P33" s="1985"/>
      <c r="Q33" s="1986"/>
      <c r="R33" s="23"/>
      <c r="S33" s="696" t="s">
        <v>390</v>
      </c>
      <c r="T33" s="726">
        <v>11</v>
      </c>
      <c r="U33" s="698"/>
      <c r="V33" s="23"/>
    </row>
    <row r="34" spans="1:22">
      <c r="A34" s="823"/>
      <c r="B34" s="23"/>
      <c r="C34" s="23"/>
      <c r="D34" s="23"/>
      <c r="E34" s="23"/>
      <c r="F34" s="23"/>
      <c r="G34" s="23"/>
      <c r="H34" s="23"/>
      <c r="I34" s="23"/>
      <c r="J34" s="23"/>
      <c r="K34" s="23"/>
      <c r="L34" s="23"/>
      <c r="M34" s="1984"/>
      <c r="N34" s="1985"/>
      <c r="O34" s="1985"/>
      <c r="P34" s="1985"/>
      <c r="Q34" s="1986"/>
      <c r="R34" s="23"/>
      <c r="S34" s="23"/>
      <c r="T34" s="23"/>
      <c r="U34" s="23"/>
      <c r="V34" s="23"/>
    </row>
    <row r="35" spans="1:22" ht="16.5">
      <c r="A35" s="823"/>
      <c r="B35" s="23"/>
      <c r="C35" s="23"/>
      <c r="D35" s="23"/>
      <c r="E35" s="23"/>
      <c r="F35" s="23"/>
      <c r="G35" s="23"/>
      <c r="H35" s="23"/>
      <c r="I35" s="23"/>
      <c r="J35" s="23"/>
      <c r="K35" s="23"/>
      <c r="L35" s="23"/>
      <c r="M35" s="1984"/>
      <c r="N35" s="1985"/>
      <c r="O35" s="1985"/>
      <c r="P35" s="1985"/>
      <c r="Q35" s="1986"/>
      <c r="R35" s="23"/>
      <c r="S35" s="687" t="s">
        <v>389</v>
      </c>
      <c r="T35" s="688"/>
      <c r="U35" s="689"/>
      <c r="V35" s="23"/>
    </row>
    <row r="36" spans="1:22">
      <c r="A36" s="824"/>
      <c r="B36" s="23"/>
      <c r="C36" s="23"/>
      <c r="D36" s="23"/>
      <c r="E36" s="23"/>
      <c r="F36" s="23"/>
      <c r="G36" s="23"/>
      <c r="H36" s="23"/>
      <c r="I36" s="23"/>
      <c r="J36" s="23"/>
      <c r="K36" s="23"/>
      <c r="L36" s="23"/>
      <c r="M36" s="1984"/>
      <c r="N36" s="1985"/>
      <c r="O36" s="1985"/>
      <c r="P36" s="1985"/>
      <c r="Q36" s="1986"/>
      <c r="R36" s="23"/>
      <c r="S36" s="749" t="s">
        <v>388</v>
      </c>
      <c r="T36" s="726">
        <v>9</v>
      </c>
      <c r="U36" s="825"/>
      <c r="V36" s="23"/>
    </row>
    <row r="37" spans="1:22">
      <c r="A37" s="23"/>
      <c r="B37" s="23"/>
      <c r="C37" s="23"/>
      <c r="D37" s="23"/>
      <c r="E37" s="23"/>
      <c r="F37" s="23"/>
      <c r="G37" s="23"/>
      <c r="H37" s="23"/>
      <c r="I37" s="23"/>
      <c r="J37" s="23"/>
      <c r="K37" s="23"/>
      <c r="L37" s="23"/>
      <c r="M37" s="1987"/>
      <c r="N37" s="1988"/>
      <c r="O37" s="1988"/>
      <c r="P37" s="1988"/>
      <c r="Q37" s="1989"/>
      <c r="R37" s="23"/>
      <c r="S37" s="749" t="s">
        <v>387</v>
      </c>
      <c r="T37" s="726">
        <v>2</v>
      </c>
      <c r="U37" s="825"/>
      <c r="V37" s="23"/>
    </row>
    <row r="38" spans="1:22">
      <c r="A38" s="23"/>
      <c r="B38" s="23"/>
      <c r="C38" s="23"/>
      <c r="D38" s="23"/>
      <c r="E38" s="23"/>
      <c r="F38" s="23"/>
      <c r="G38" s="23"/>
      <c r="H38" s="23"/>
      <c r="I38" s="23"/>
      <c r="J38" s="23"/>
      <c r="K38" s="23"/>
      <c r="L38" s="23"/>
      <c r="M38" s="23"/>
      <c r="N38" s="23"/>
      <c r="O38" s="23"/>
      <c r="P38" s="23"/>
      <c r="Q38" s="23"/>
      <c r="R38" s="23"/>
      <c r="S38" s="696" t="s">
        <v>386</v>
      </c>
      <c r="T38" s="826">
        <v>10000</v>
      </c>
      <c r="U38" s="698"/>
      <c r="V38" s="23"/>
    </row>
    <row r="39" spans="1:22" ht="16.5" thickBot="1">
      <c r="A39" s="23"/>
      <c r="B39" s="23"/>
      <c r="C39" s="23"/>
      <c r="D39" s="23"/>
      <c r="E39" s="23"/>
      <c r="F39" s="23"/>
      <c r="G39" s="23"/>
      <c r="H39" s="23"/>
      <c r="I39" s="23"/>
      <c r="J39" s="23"/>
      <c r="K39" s="23"/>
      <c r="L39" s="23"/>
      <c r="M39" s="23"/>
      <c r="N39" s="23"/>
      <c r="O39" s="23"/>
      <c r="P39" s="23"/>
      <c r="Q39" s="23"/>
      <c r="R39" s="23"/>
      <c r="S39" s="569"/>
      <c r="T39" s="45"/>
      <c r="U39" s="570"/>
      <c r="V39" s="23"/>
    </row>
    <row r="40" spans="1:22" ht="16.5">
      <c r="A40" s="23"/>
      <c r="B40" s="23"/>
      <c r="C40" s="23"/>
      <c r="D40" s="23"/>
      <c r="E40" s="23"/>
      <c r="F40" s="23"/>
      <c r="G40" s="23"/>
      <c r="H40" s="23"/>
      <c r="I40" s="23"/>
      <c r="J40" s="23"/>
      <c r="K40" s="23"/>
      <c r="L40" s="23"/>
      <c r="M40" s="1990" t="s">
        <v>385</v>
      </c>
      <c r="N40" s="1991"/>
      <c r="O40" s="1992"/>
      <c r="P40" s="23"/>
      <c r="Q40" s="23"/>
      <c r="R40" s="23"/>
      <c r="S40" s="687" t="s">
        <v>384</v>
      </c>
      <c r="T40" s="688"/>
      <c r="U40" s="689"/>
      <c r="V40" s="23"/>
    </row>
    <row r="41" spans="1:22">
      <c r="A41" s="23"/>
      <c r="B41" s="23"/>
      <c r="C41" s="23"/>
      <c r="D41" s="23"/>
      <c r="E41" s="23"/>
      <c r="F41" s="23"/>
      <c r="G41" s="23"/>
      <c r="H41" s="23"/>
      <c r="I41" s="23"/>
      <c r="J41" s="23"/>
      <c r="K41" s="23"/>
      <c r="L41" s="23"/>
      <c r="M41" s="827" t="s">
        <v>371</v>
      </c>
      <c r="N41" s="1993">
        <v>30000</v>
      </c>
      <c r="O41" s="1994"/>
      <c r="P41" s="23"/>
      <c r="Q41" s="23"/>
      <c r="R41" s="23"/>
      <c r="S41" s="696" t="s">
        <v>383</v>
      </c>
      <c r="T41" s="826">
        <v>500</v>
      </c>
      <c r="U41" s="698"/>
      <c r="V41" s="828"/>
    </row>
    <row r="42" spans="1:22">
      <c r="A42" s="23"/>
      <c r="B42" s="23"/>
      <c r="C42" s="23"/>
      <c r="D42" s="23"/>
      <c r="E42" s="23"/>
      <c r="F42" s="23"/>
      <c r="G42" s="23"/>
      <c r="H42" s="23"/>
      <c r="I42" s="23"/>
      <c r="J42" s="23"/>
      <c r="K42" s="23"/>
      <c r="L42" s="23"/>
      <c r="M42" s="829" t="s">
        <v>370</v>
      </c>
      <c r="N42" s="1993">
        <v>30000</v>
      </c>
      <c r="O42" s="1994"/>
      <c r="P42" s="23"/>
      <c r="Q42" s="23"/>
      <c r="R42" s="23"/>
      <c r="S42" s="569"/>
      <c r="T42" s="571"/>
      <c r="U42" s="570"/>
      <c r="V42" s="23"/>
    </row>
    <row r="43" spans="1:22" ht="16.5">
      <c r="A43" s="23"/>
      <c r="B43" s="23"/>
      <c r="C43" s="23"/>
      <c r="D43" s="23"/>
      <c r="E43" s="23"/>
      <c r="F43" s="23"/>
      <c r="G43" s="23"/>
      <c r="H43" s="23"/>
      <c r="I43" s="23"/>
      <c r="J43" s="23"/>
      <c r="K43" s="23"/>
      <c r="L43" s="23"/>
      <c r="M43" s="830" t="s">
        <v>369</v>
      </c>
      <c r="N43" s="1993">
        <v>25000</v>
      </c>
      <c r="O43" s="1994"/>
      <c r="P43" s="23"/>
      <c r="Q43" s="23"/>
      <c r="R43" s="23"/>
      <c r="S43" s="687" t="s">
        <v>382</v>
      </c>
      <c r="T43" s="688"/>
      <c r="U43" s="689"/>
      <c r="V43" s="23"/>
    </row>
    <row r="44" spans="1:22" ht="16.5" thickBot="1">
      <c r="A44" s="23"/>
      <c r="B44" s="23"/>
      <c r="C44" s="23"/>
      <c r="D44" s="23"/>
      <c r="E44" s="23"/>
      <c r="F44" s="23"/>
      <c r="G44" s="23"/>
      <c r="H44" s="23"/>
      <c r="I44" s="23"/>
      <c r="J44" s="23"/>
      <c r="K44" s="23"/>
      <c r="L44" s="23"/>
      <c r="M44" s="831" t="s">
        <v>368</v>
      </c>
      <c r="N44" s="1995">
        <v>40000</v>
      </c>
      <c r="O44" s="1996"/>
      <c r="P44" s="23"/>
      <c r="Q44" s="23"/>
      <c r="R44" s="23"/>
      <c r="S44" s="832" t="s">
        <v>381</v>
      </c>
      <c r="T44" s="833">
        <v>0.3</v>
      </c>
      <c r="U44" s="834"/>
      <c r="V44" s="23"/>
    </row>
    <row r="45" spans="1:22">
      <c r="A45" s="23"/>
      <c r="B45" s="23"/>
      <c r="C45" s="23"/>
      <c r="D45" s="23"/>
      <c r="E45" s="23"/>
      <c r="F45" s="23"/>
      <c r="G45" s="23"/>
      <c r="H45" s="23"/>
      <c r="I45" s="23"/>
      <c r="J45" s="23"/>
      <c r="K45" s="23"/>
      <c r="L45" s="23"/>
      <c r="M45" s="23"/>
      <c r="N45" s="23"/>
      <c r="O45" s="23"/>
      <c r="P45" s="23"/>
      <c r="Q45" s="23"/>
      <c r="R45" s="23"/>
      <c r="S45" s="23"/>
      <c r="T45" s="23"/>
      <c r="U45" s="23"/>
      <c r="V45" s="23"/>
    </row>
    <row r="46" spans="1:22">
      <c r="A46" s="23"/>
      <c r="B46" s="23"/>
      <c r="C46" s="23"/>
      <c r="D46" s="23"/>
      <c r="E46" s="23"/>
      <c r="F46" s="23"/>
      <c r="G46" s="23"/>
      <c r="H46" s="23"/>
      <c r="I46" s="23"/>
      <c r="J46" s="23"/>
      <c r="K46" s="23"/>
      <c r="L46" s="23"/>
      <c r="M46" s="23"/>
      <c r="N46" s="23"/>
      <c r="O46" s="23"/>
      <c r="P46" s="835"/>
      <c r="Q46" s="23"/>
      <c r="R46" s="835"/>
      <c r="S46" s="835"/>
      <c r="T46" s="23"/>
      <c r="U46" s="23"/>
      <c r="V46" s="23"/>
    </row>
    <row r="47" spans="1:22" ht="16.5">
      <c r="A47" s="23"/>
      <c r="B47" s="23"/>
      <c r="C47" s="23"/>
      <c r="D47" s="23"/>
      <c r="E47" s="23"/>
      <c r="F47" s="23"/>
      <c r="G47" s="23"/>
      <c r="H47" s="23"/>
      <c r="I47" s="23"/>
      <c r="J47" s="23"/>
      <c r="K47" s="23"/>
      <c r="L47" s="23"/>
      <c r="M47" s="836" t="s">
        <v>380</v>
      </c>
      <c r="N47" s="837"/>
      <c r="O47" s="23"/>
      <c r="P47" s="1997"/>
      <c r="Q47" s="1998"/>
      <c r="R47" s="1998"/>
      <c r="S47" s="838"/>
      <c r="T47" s="23"/>
      <c r="U47" s="23"/>
      <c r="V47" s="23"/>
    </row>
    <row r="48" spans="1:22" ht="15.75" customHeight="1">
      <c r="A48" s="23"/>
      <c r="B48" s="23"/>
      <c r="C48" s="23"/>
      <c r="D48" s="23"/>
      <c r="E48" s="23"/>
      <c r="F48" s="23"/>
      <c r="G48" s="23"/>
      <c r="H48" s="23"/>
      <c r="I48" s="23"/>
      <c r="J48" s="23"/>
      <c r="K48" s="23"/>
      <c r="L48" s="23"/>
      <c r="M48" s="839"/>
      <c r="N48" s="840" t="s">
        <v>379</v>
      </c>
      <c r="O48" s="23"/>
      <c r="P48" s="1974"/>
      <c r="Q48" s="1975"/>
      <c r="R48" s="1975"/>
      <c r="S48" s="841"/>
      <c r="T48" s="23"/>
      <c r="U48" s="23"/>
      <c r="V48" s="23"/>
    </row>
    <row r="49" spans="1:22" ht="15.75" customHeight="1">
      <c r="A49" s="23"/>
      <c r="B49" s="23"/>
      <c r="C49" s="23"/>
      <c r="D49" s="23"/>
      <c r="E49" s="23"/>
      <c r="F49" s="23"/>
      <c r="G49" s="23"/>
      <c r="H49" s="23"/>
      <c r="I49" s="23"/>
      <c r="J49" s="23"/>
      <c r="K49" s="23"/>
      <c r="L49" s="23"/>
      <c r="M49" s="842" t="s">
        <v>378</v>
      </c>
      <c r="N49" s="843">
        <f>IF(EMS!P8&lt;EMS!T12,EMS!P8/1000*EMS!T15+EMS!U15,EMS!P8/1000*EMS!T16+EMS!U16)</f>
        <v>0</v>
      </c>
      <c r="O49" s="23"/>
      <c r="P49" s="1974"/>
      <c r="Q49" s="1975"/>
      <c r="R49" s="1975"/>
      <c r="S49" s="844"/>
      <c r="T49" s="23"/>
      <c r="U49" s="23"/>
      <c r="V49" s="23"/>
    </row>
    <row r="50" spans="1:22" ht="15.75" customHeight="1">
      <c r="A50" s="23"/>
      <c r="B50" s="23"/>
      <c r="C50" s="23"/>
      <c r="D50" s="23"/>
      <c r="E50" s="23"/>
      <c r="F50" s="23"/>
      <c r="G50" s="23"/>
      <c r="H50" s="23"/>
      <c r="I50" s="23"/>
      <c r="J50" s="23"/>
      <c r="K50" s="23"/>
      <c r="L50" s="23"/>
      <c r="M50" s="842" t="s">
        <v>377</v>
      </c>
      <c r="N50" s="843">
        <f>IF(EMS!Q10&lt;EMS!T19,EMS!Q10/1000*EMS!T22+EMS!U22,EMS!Q10/1000*EMS!T23+EMS!U23)</f>
        <v>0</v>
      </c>
      <c r="O50" s="23"/>
      <c r="P50" s="1974"/>
      <c r="Q50" s="1975"/>
      <c r="R50" s="1975"/>
      <c r="S50" s="844"/>
      <c r="T50" s="23"/>
      <c r="U50" s="23"/>
      <c r="V50" s="23"/>
    </row>
    <row r="51" spans="1:22" ht="15.75" customHeight="1">
      <c r="A51" s="23"/>
      <c r="B51" s="23"/>
      <c r="C51" s="23"/>
      <c r="D51" s="23"/>
      <c r="E51" s="23"/>
      <c r="F51" s="23"/>
      <c r="G51" s="23"/>
      <c r="H51" s="23"/>
      <c r="I51" s="23"/>
      <c r="J51" s="23"/>
      <c r="K51" s="23"/>
      <c r="L51" s="23"/>
      <c r="M51" s="845" t="s">
        <v>376</v>
      </c>
      <c r="N51" s="846">
        <f>IF(EMS!Q11&lt;EMS!T26,EMS!Q11/1000*EMS!T29+EMS!U29,EMS!Q11/1000*EMS!T30+EMS!U30)</f>
        <v>0</v>
      </c>
      <c r="O51" s="23"/>
      <c r="P51" s="1974"/>
      <c r="Q51" s="1975"/>
      <c r="R51" s="1975"/>
      <c r="S51" s="844"/>
      <c r="T51" s="23"/>
      <c r="U51" s="23"/>
      <c r="V51" s="23"/>
    </row>
    <row r="52" spans="1:22" ht="15.75" customHeight="1">
      <c r="A52" s="23"/>
      <c r="B52" s="23"/>
      <c r="C52" s="23"/>
      <c r="D52" s="23"/>
      <c r="E52" s="23"/>
      <c r="F52" s="23"/>
      <c r="G52" s="23"/>
      <c r="H52" s="23"/>
      <c r="I52" s="23"/>
      <c r="J52" s="23"/>
      <c r="K52" s="23"/>
      <c r="L52" s="23"/>
      <c r="M52" s="847" t="s">
        <v>375</v>
      </c>
      <c r="N52" s="848">
        <f>SUM(EMS!N49:N51)</f>
        <v>0</v>
      </c>
      <c r="O52" s="23"/>
      <c r="P52" s="1974"/>
      <c r="Q52" s="1975"/>
      <c r="R52" s="1975"/>
      <c r="S52" s="849"/>
      <c r="T52" s="23"/>
      <c r="U52" s="23"/>
      <c r="V52" s="23"/>
    </row>
    <row r="53" spans="1:22" ht="15.75" customHeight="1">
      <c r="A53" s="23"/>
      <c r="B53" s="23"/>
      <c r="C53" s="23"/>
      <c r="D53" s="23"/>
      <c r="E53" s="23"/>
      <c r="F53" s="23"/>
      <c r="G53" s="23"/>
      <c r="H53" s="23"/>
      <c r="I53" s="23"/>
      <c r="J53" s="23"/>
      <c r="K53" s="23"/>
      <c r="L53" s="23"/>
      <c r="M53" s="850" t="s">
        <v>374</v>
      </c>
      <c r="N53" s="848">
        <f>IF(EMS!Q15=1,0,IF(N52&lt;EMS!T33,EMS!T33,EMS!N52))</f>
        <v>0</v>
      </c>
      <c r="O53" s="23"/>
      <c r="P53" s="1976"/>
      <c r="Q53" s="1977"/>
      <c r="R53" s="1977"/>
      <c r="S53" s="851"/>
      <c r="T53" s="23"/>
      <c r="U53" s="23"/>
      <c r="V53" s="23"/>
    </row>
    <row r="54" spans="1:22">
      <c r="A54" s="23"/>
      <c r="B54" s="23"/>
      <c r="C54" s="23"/>
      <c r="D54" s="23"/>
      <c r="E54" s="23"/>
      <c r="F54" s="23"/>
      <c r="G54" s="23"/>
      <c r="H54" s="23"/>
      <c r="I54" s="23"/>
      <c r="J54" s="23"/>
      <c r="K54" s="23"/>
      <c r="L54" s="23"/>
      <c r="M54" s="23"/>
      <c r="N54" s="23"/>
      <c r="O54" s="23"/>
      <c r="P54" s="23"/>
      <c r="Q54" s="23"/>
      <c r="R54" s="23"/>
      <c r="S54" s="23"/>
      <c r="T54" s="23"/>
      <c r="U54" s="23"/>
      <c r="V54" s="23"/>
    </row>
    <row r="55" spans="1:22" ht="18.75" customHeight="1">
      <c r="A55" s="23"/>
      <c r="B55" s="23"/>
      <c r="C55" s="23"/>
      <c r="D55" s="23"/>
      <c r="E55" s="23"/>
      <c r="F55" s="23"/>
      <c r="G55" s="23"/>
      <c r="H55" s="23"/>
      <c r="I55" s="23"/>
      <c r="J55" s="23"/>
      <c r="K55" s="23"/>
      <c r="L55" s="23"/>
      <c r="M55" s="1978" t="s">
        <v>373</v>
      </c>
      <c r="N55" s="1979"/>
      <c r="O55" s="1979"/>
      <c r="P55" s="1979"/>
      <c r="Q55" s="1979"/>
      <c r="R55" s="1979"/>
      <c r="S55" s="1980"/>
      <c r="T55" s="23"/>
      <c r="U55" s="23"/>
      <c r="V55" s="23"/>
    </row>
    <row r="56" spans="1:22" ht="16.5">
      <c r="A56" s="23"/>
      <c r="B56" s="23"/>
      <c r="C56" s="23"/>
      <c r="D56" s="23"/>
      <c r="E56" s="23"/>
      <c r="F56" s="23"/>
      <c r="G56" s="23"/>
      <c r="H56" s="23"/>
      <c r="I56" s="23"/>
      <c r="J56" s="23"/>
      <c r="K56" s="23"/>
      <c r="L56" s="23"/>
      <c r="M56" s="852" t="s">
        <v>372</v>
      </c>
      <c r="N56" s="853" t="s">
        <v>371</v>
      </c>
      <c r="O56" s="854" t="s">
        <v>370</v>
      </c>
      <c r="P56" s="850" t="s">
        <v>369</v>
      </c>
      <c r="Q56" s="855" t="s">
        <v>368</v>
      </c>
      <c r="R56" s="855"/>
      <c r="S56" s="855" t="s">
        <v>367</v>
      </c>
      <c r="T56" s="23"/>
      <c r="U56" s="23"/>
      <c r="V56" s="23"/>
    </row>
    <row r="57" spans="1:22">
      <c r="A57" s="23"/>
      <c r="B57" s="23"/>
      <c r="C57" s="23"/>
      <c r="D57" s="23"/>
      <c r="E57" s="23"/>
      <c r="F57" s="23"/>
      <c r="G57" s="23"/>
      <c r="H57" s="23"/>
      <c r="I57" s="23"/>
      <c r="J57" s="23"/>
      <c r="K57" s="23"/>
      <c r="L57" s="23"/>
      <c r="M57" s="856" t="s">
        <v>366</v>
      </c>
      <c r="N57" s="857">
        <v>0</v>
      </c>
      <c r="O57" s="857">
        <v>0</v>
      </c>
      <c r="P57" s="857">
        <v>0</v>
      </c>
      <c r="Q57" s="857">
        <v>0</v>
      </c>
      <c r="R57" s="857"/>
      <c r="S57" s="857">
        <f>SUM(N57:Q57)</f>
        <v>0</v>
      </c>
      <c r="T57" s="23"/>
      <c r="U57" s="23"/>
      <c r="V57" s="23"/>
    </row>
    <row r="58" spans="1:22">
      <c r="A58" s="23"/>
      <c r="B58" s="23"/>
      <c r="C58" s="23"/>
      <c r="D58" s="23"/>
      <c r="E58" s="23"/>
      <c r="F58" s="23"/>
      <c r="G58" s="23"/>
      <c r="H58" s="23"/>
      <c r="I58" s="23"/>
      <c r="J58" s="23"/>
      <c r="K58" s="23"/>
      <c r="L58" s="23"/>
      <c r="M58" s="858" t="s">
        <v>365</v>
      </c>
      <c r="N58" s="857">
        <f>CEILING(IF($N$53&gt;9.9,IF($N$53&lt;23,($N$53-2)*0.5,0),0),0.5)</f>
        <v>0</v>
      </c>
      <c r="O58" s="857">
        <f>CEILING(IF($N$53&gt;9.9,IF($N$53&lt;23,($N$53-2)*0.5,0),0),0.5)</f>
        <v>0</v>
      </c>
      <c r="P58" s="857">
        <f>IF($N$53&gt;9.9,IF($N$53&lt;23,1,0),0)</f>
        <v>0</v>
      </c>
      <c r="Q58" s="857">
        <f>IF($N$53&gt;9.9,IF($N$53&lt;23,1,0),0)</f>
        <v>0</v>
      </c>
      <c r="R58" s="857"/>
      <c r="S58" s="857">
        <f>SUM(N58:Q58)</f>
        <v>0</v>
      </c>
      <c r="T58" s="23"/>
      <c r="U58" s="23"/>
      <c r="V58" s="23"/>
    </row>
    <row r="59" spans="1:22">
      <c r="A59" s="23"/>
      <c r="B59" s="23"/>
      <c r="C59" s="23"/>
      <c r="D59" s="23"/>
      <c r="E59" s="23"/>
      <c r="F59" s="23"/>
      <c r="G59" s="23"/>
      <c r="H59" s="23"/>
      <c r="I59" s="23"/>
      <c r="J59" s="23"/>
      <c r="K59" s="23"/>
      <c r="L59" s="23"/>
      <c r="M59" s="842" t="s">
        <v>364</v>
      </c>
      <c r="N59" s="857">
        <f>CEILING(IF($N$53&gt;23,IF($N$53&lt;43,($N$53-4)*0.5,0),0),0.5)</f>
        <v>0</v>
      </c>
      <c r="O59" s="857">
        <f>CEILING(IF($N$53&gt;23,IF($N$53&lt;43,($N$53-4)*0.5,0),0),0.5)</f>
        <v>0</v>
      </c>
      <c r="P59" s="857">
        <f>IF($N$53&gt;23,IF($N$53&lt;43,2,0),0)</f>
        <v>0</v>
      </c>
      <c r="Q59" s="857">
        <f>IF($N$53&gt;23,IF($N$53&lt;43,2,0),0)</f>
        <v>0</v>
      </c>
      <c r="R59" s="857"/>
      <c r="S59" s="857">
        <f>SUM(N59:Q59)</f>
        <v>0</v>
      </c>
      <c r="T59" s="23"/>
      <c r="U59" s="23"/>
      <c r="V59" s="23"/>
    </row>
    <row r="60" spans="1:22">
      <c r="A60" s="23"/>
      <c r="B60" s="23"/>
      <c r="C60" s="23"/>
      <c r="D60" s="23"/>
      <c r="E60" s="23"/>
      <c r="F60" s="23"/>
      <c r="G60" s="23"/>
      <c r="H60" s="23"/>
      <c r="I60" s="23"/>
      <c r="J60" s="23"/>
      <c r="K60" s="23"/>
      <c r="L60" s="23"/>
      <c r="M60" s="842" t="s">
        <v>363</v>
      </c>
      <c r="N60" s="857">
        <f>CEILING(IF(N53&gt;43,(N53-6)*0.5,0),0.5)</f>
        <v>0</v>
      </c>
      <c r="O60" s="857">
        <f>CEILING(IF($N$53&gt;43,($N$53-6)*0.5,0),0.5)</f>
        <v>0</v>
      </c>
      <c r="P60" s="857">
        <f>IF($N$53&gt;43,3,0)</f>
        <v>0</v>
      </c>
      <c r="Q60" s="857">
        <f>IF($N$53&gt;43,3,0)</f>
        <v>0</v>
      </c>
      <c r="R60" s="857"/>
      <c r="S60" s="857">
        <f>SUM(N60:Q60)</f>
        <v>0</v>
      </c>
      <c r="T60" s="23"/>
      <c r="U60" s="23"/>
      <c r="V60" s="23"/>
    </row>
    <row r="61" spans="1:22">
      <c r="A61" s="23"/>
      <c r="B61" s="23"/>
      <c r="C61" s="23"/>
      <c r="D61" s="23"/>
      <c r="E61" s="23"/>
      <c r="F61" s="23"/>
      <c r="G61" s="23"/>
      <c r="H61" s="23"/>
      <c r="I61" s="23"/>
      <c r="J61" s="23"/>
      <c r="K61" s="23"/>
      <c r="L61" s="23"/>
      <c r="M61" s="859"/>
      <c r="N61" s="860"/>
      <c r="O61" s="860"/>
      <c r="P61" s="860"/>
      <c r="Q61" s="860"/>
      <c r="R61" s="860"/>
      <c r="S61" s="857"/>
      <c r="T61" s="23"/>
      <c r="U61" s="23"/>
      <c r="V61" s="23"/>
    </row>
    <row r="62" spans="1:22">
      <c r="A62" s="23"/>
      <c r="B62" s="23"/>
      <c r="C62" s="23"/>
      <c r="D62" s="23"/>
      <c r="E62" s="23"/>
      <c r="F62" s="23"/>
      <c r="G62" s="23"/>
      <c r="H62" s="23"/>
      <c r="I62" s="23"/>
      <c r="J62" s="23"/>
      <c r="K62" s="23"/>
      <c r="L62" s="23"/>
      <c r="M62" s="856" t="s">
        <v>362</v>
      </c>
      <c r="N62" s="857">
        <f>SUM(N57:N61)</f>
        <v>0</v>
      </c>
      <c r="O62" s="857">
        <f>SUM(O57:O61)</f>
        <v>0</v>
      </c>
      <c r="P62" s="857">
        <f>SUM(P57:P61)</f>
        <v>0</v>
      </c>
      <c r="Q62" s="857">
        <f>SUM(Q57:Q61)</f>
        <v>0</v>
      </c>
      <c r="R62" s="857"/>
      <c r="S62" s="857">
        <f>SUM(N62:Q62)</f>
        <v>0</v>
      </c>
      <c r="T62" s="23"/>
      <c r="U62" s="23"/>
      <c r="V62" s="23"/>
    </row>
    <row r="63" spans="1:22">
      <c r="A63" s="23"/>
      <c r="B63" s="23"/>
      <c r="C63" s="23"/>
      <c r="D63" s="23"/>
      <c r="E63" s="23"/>
      <c r="F63" s="23"/>
      <c r="G63" s="23"/>
      <c r="H63" s="23"/>
      <c r="I63" s="23"/>
      <c r="J63" s="23"/>
      <c r="K63" s="23"/>
      <c r="L63" s="23"/>
      <c r="M63" s="23"/>
      <c r="N63" s="23"/>
      <c r="O63" s="23"/>
      <c r="P63" s="23"/>
      <c r="Q63" s="23"/>
      <c r="R63" s="23"/>
      <c r="S63" s="23"/>
      <c r="T63" s="23"/>
      <c r="U63" s="23"/>
      <c r="V63" s="23"/>
    </row>
    <row r="64" spans="1:22">
      <c r="A64" s="23"/>
      <c r="B64" s="23"/>
      <c r="C64" s="23"/>
      <c r="D64" s="23"/>
      <c r="E64" s="23"/>
      <c r="F64" s="23"/>
      <c r="G64" s="23"/>
      <c r="H64" s="23"/>
      <c r="I64" s="23"/>
      <c r="J64" s="23"/>
      <c r="K64" s="23"/>
      <c r="L64" s="23"/>
      <c r="M64" s="23"/>
      <c r="N64" s="23"/>
      <c r="O64" s="23"/>
      <c r="P64" s="23"/>
      <c r="Q64" s="23"/>
      <c r="R64" s="23"/>
      <c r="S64" s="23"/>
      <c r="T64" s="23"/>
      <c r="U64" s="23"/>
      <c r="V64" s="23"/>
    </row>
  </sheetData>
  <sheetProtection algorithmName="SHA-512" hashValue="3tNQbQ7Ra8j5QBdLsNHzQeX4LDpWxTV53u7E1AcxGpo9vVeOz53GVo2Pu1iteOKAZJ3vODXB8NH9GShD2jojsg==" saltValue="zSNZkiJJW4ajdVi1++ciwA==" spinCount="100000" sheet="1" objects="1" scenarios="1"/>
  <customSheetViews>
    <customSheetView guid="{82538F0F-5202-4835-8386-243FA62C9FC1}" state="hidden">
      <selection sqref="A1:F1"/>
      <pageMargins left="0.75" right="0.75" top="1" bottom="1" header="0.5" footer="0.5"/>
      <pageSetup orientation="portrait" r:id="rId1"/>
      <headerFooter alignWithMargins="0"/>
    </customSheetView>
  </customSheetViews>
  <mergeCells count="25">
    <mergeCell ref="E13:F13"/>
    <mergeCell ref="E8:F8"/>
    <mergeCell ref="E9:F9"/>
    <mergeCell ref="E10:F10"/>
    <mergeCell ref="E11:F11"/>
    <mergeCell ref="P52:R52"/>
    <mergeCell ref="P53:R53"/>
    <mergeCell ref="M55:S55"/>
    <mergeCell ref="M25:Q37"/>
    <mergeCell ref="M40:O40"/>
    <mergeCell ref="N41:O41"/>
    <mergeCell ref="N42:O42"/>
    <mergeCell ref="N43:O43"/>
    <mergeCell ref="N44:O44"/>
    <mergeCell ref="P47:R47"/>
    <mergeCell ref="P49:R49"/>
    <mergeCell ref="P50:R50"/>
    <mergeCell ref="P51:R51"/>
    <mergeCell ref="P48:R48"/>
    <mergeCell ref="I1:J1"/>
    <mergeCell ref="G1:H1"/>
    <mergeCell ref="C2:F2"/>
    <mergeCell ref="I2:J2"/>
    <mergeCell ref="G2:H2"/>
    <mergeCell ref="A1:F1"/>
  </mergeCells>
  <phoneticPr fontId="103" type="noConversion"/>
  <pageMargins left="0.75" right="0.75" top="1" bottom="1" header="0.5" footer="0.5"/>
  <pageSetup orientation="portrait" r:id="rId2"/>
  <headerFooter alignWithMargins="0"/>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Y47"/>
  <sheetViews>
    <sheetView topLeftCell="A4" workbookViewId="0">
      <selection activeCell="H13" sqref="H13"/>
    </sheetView>
  </sheetViews>
  <sheetFormatPr defaultRowHeight="15.75"/>
  <cols>
    <col min="1" max="1" width="8.75" customWidth="1"/>
    <col min="2" max="2" width="8.75" customWidth="1" collapsed="1"/>
    <col min="3" max="3" width="14.125" customWidth="1" collapsed="1"/>
    <col min="4" max="4" width="7.875" customWidth="1" collapsed="1"/>
    <col min="7" max="7" width="13.25" customWidth="1" collapsed="1"/>
    <col min="8" max="8" width="14.25" customWidth="1" collapsed="1"/>
    <col min="9" max="10" width="8.75" style="940" collapsed="1"/>
    <col min="12" max="12" width="13" customWidth="1" collapsed="1"/>
    <col min="13" max="13" width="13.875" bestFit="1" customWidth="1"/>
    <col min="14" max="14" width="11.75" bestFit="1" customWidth="1"/>
    <col min="15" max="15" width="14.375" customWidth="1" collapsed="1"/>
    <col min="17" max="17" width="8.75" style="940" collapsed="1"/>
    <col min="19" max="20" width="13.875" customWidth="1" collapsed="1"/>
    <col min="21" max="21" width="13.875" customWidth="1"/>
    <col min="22" max="22" width="13.875" customWidth="1" collapsed="1"/>
    <col min="25" max="25" width="9.875" bestFit="1" customWidth="1"/>
  </cols>
  <sheetData>
    <row r="2" spans="1:25" ht="20.25">
      <c r="B2" s="942" t="str">
        <f>"FACILITY:  " &amp; 'Facility Info'!E6</f>
        <v xml:space="preserve">FACILITY:  </v>
      </c>
      <c r="U2" s="943"/>
    </row>
    <row r="3" spans="1:25">
      <c r="B3" t="str">
        <f>"Opening Date:  1st Qtr FY '" &amp; RIGHT('Facility Info'!E14,2)</f>
        <v>Opening Date:  1st Qtr FY '19</v>
      </c>
    </row>
    <row r="4" spans="1:25">
      <c r="F4" t="str">
        <f>RIGHT(D3,2)</f>
        <v/>
      </c>
    </row>
    <row r="5" spans="1:25">
      <c r="J5" s="967"/>
      <c r="K5" s="944"/>
      <c r="L5" s="944"/>
      <c r="M5" s="944"/>
      <c r="N5" s="944"/>
      <c r="O5" s="944"/>
      <c r="P5" s="944"/>
      <c r="Q5" s="967"/>
      <c r="R5" s="944"/>
      <c r="S5" s="944"/>
      <c r="T5" s="944"/>
      <c r="U5" s="944"/>
    </row>
    <row r="6" spans="1:25">
      <c r="B6" s="945" t="s">
        <v>548</v>
      </c>
      <c r="J6" s="967"/>
      <c r="K6" s="946" t="s">
        <v>549</v>
      </c>
      <c r="L6" s="944"/>
      <c r="M6" s="944"/>
      <c r="N6" s="944"/>
      <c r="O6" s="944"/>
      <c r="P6" s="944"/>
      <c r="Q6" s="967"/>
      <c r="R6" s="946" t="s">
        <v>550</v>
      </c>
      <c r="S6" s="944"/>
      <c r="T6" s="944"/>
      <c r="U6" s="944"/>
      <c r="Y6" s="958"/>
    </row>
    <row r="7" spans="1:25">
      <c r="B7" s="945" t="s">
        <v>551</v>
      </c>
      <c r="J7" s="967"/>
      <c r="K7" s="944" t="s">
        <v>552</v>
      </c>
      <c r="L7" s="944"/>
      <c r="M7" s="944"/>
      <c r="N7" s="944"/>
      <c r="O7" s="944"/>
      <c r="P7" s="944"/>
      <c r="Q7" s="967"/>
      <c r="R7" s="944" t="s">
        <v>553</v>
      </c>
      <c r="S7" s="944"/>
      <c r="T7" s="944"/>
      <c r="U7" s="944"/>
      <c r="Y7" s="958"/>
    </row>
    <row r="8" spans="1:25">
      <c r="H8" s="1028"/>
      <c r="J8" s="967"/>
      <c r="K8" s="944" t="s">
        <v>554</v>
      </c>
      <c r="L8" s="944"/>
      <c r="M8" s="944"/>
      <c r="N8" s="944"/>
      <c r="O8" s="944"/>
      <c r="P8" s="944"/>
      <c r="Q8" s="967"/>
      <c r="R8" s="944" t="s">
        <v>555</v>
      </c>
      <c r="S8" s="944"/>
      <c r="T8" s="944"/>
      <c r="U8" s="944"/>
      <c r="Y8" s="958"/>
    </row>
    <row r="9" spans="1:25" ht="16.5" thickBot="1">
      <c r="B9" s="947"/>
      <c r="C9" s="948"/>
      <c r="D9" s="948"/>
      <c r="E9" s="948"/>
      <c r="F9" s="948"/>
      <c r="G9" s="948"/>
      <c r="H9" s="948"/>
      <c r="I9" s="968"/>
      <c r="J9" s="967"/>
      <c r="K9" s="944" t="s">
        <v>556</v>
      </c>
      <c r="L9" s="944"/>
      <c r="M9" s="944"/>
      <c r="N9" s="944"/>
      <c r="O9" s="944"/>
      <c r="P9" s="944"/>
      <c r="Q9" s="967"/>
      <c r="R9" s="944" t="s">
        <v>556</v>
      </c>
      <c r="S9" s="944"/>
      <c r="T9" s="944"/>
      <c r="U9" s="944"/>
      <c r="Y9" s="958"/>
    </row>
    <row r="10" spans="1:25" ht="17.25" thickTop="1" thickBot="1">
      <c r="C10" s="949" t="s">
        <v>557</v>
      </c>
      <c r="D10" s="950"/>
      <c r="E10" s="949" t="s">
        <v>558</v>
      </c>
      <c r="F10" s="951"/>
      <c r="G10" s="952" t="s">
        <v>559</v>
      </c>
      <c r="H10" s="952" t="s">
        <v>559</v>
      </c>
      <c r="I10" s="939"/>
      <c r="J10" s="968"/>
      <c r="K10" s="948"/>
      <c r="L10" s="948"/>
      <c r="M10" s="948"/>
      <c r="N10" s="948"/>
      <c r="O10" s="948"/>
      <c r="P10" s="952"/>
      <c r="Q10" s="968"/>
      <c r="R10" s="948"/>
      <c r="S10" s="948"/>
      <c r="T10" s="948"/>
      <c r="U10" s="948"/>
      <c r="V10" s="948"/>
      <c r="Y10" s="958"/>
    </row>
    <row r="11" spans="1:25" ht="16.5" thickTop="1">
      <c r="C11" s="953" t="s">
        <v>560</v>
      </c>
      <c r="D11" s="954"/>
      <c r="E11" s="953" t="s">
        <v>561</v>
      </c>
      <c r="F11" s="951"/>
      <c r="G11" s="952" t="s">
        <v>562</v>
      </c>
      <c r="H11" s="952" t="s">
        <v>562</v>
      </c>
      <c r="I11" s="939"/>
      <c r="J11" s="968"/>
      <c r="K11" s="952"/>
      <c r="L11" s="952"/>
      <c r="M11" s="952"/>
      <c r="N11" s="952"/>
      <c r="O11" s="952"/>
      <c r="P11" s="952"/>
      <c r="Q11" s="968"/>
      <c r="R11" s="952"/>
      <c r="S11" s="952"/>
      <c r="T11" s="952"/>
      <c r="U11" s="952" t="s">
        <v>563</v>
      </c>
      <c r="V11" s="952"/>
      <c r="Y11" s="958"/>
    </row>
    <row r="12" spans="1:25" ht="16.5" thickBot="1">
      <c r="B12" s="1033" t="s">
        <v>564</v>
      </c>
      <c r="C12" s="955"/>
      <c r="D12" s="956" t="s">
        <v>329</v>
      </c>
      <c r="E12" s="955"/>
      <c r="F12" s="1029" t="s">
        <v>329</v>
      </c>
      <c r="G12" s="1030" t="str">
        <f>"FY " &amp; 'Facility Info'!E14</f>
        <v>FY 2019</v>
      </c>
      <c r="H12" s="1030" t="str">
        <f>"FY " &amp; 'Facility Info'!E14 + 1</f>
        <v>FY 2020</v>
      </c>
      <c r="I12" s="939"/>
      <c r="J12" s="968"/>
      <c r="K12" s="956" t="s">
        <v>329</v>
      </c>
      <c r="L12" s="956" t="s">
        <v>478</v>
      </c>
      <c r="M12" s="956"/>
      <c r="N12" s="956"/>
      <c r="O12" s="956"/>
      <c r="P12" s="952"/>
      <c r="Q12" s="968"/>
      <c r="R12" s="956" t="s">
        <v>329</v>
      </c>
      <c r="S12" s="956" t="s">
        <v>568</v>
      </c>
      <c r="T12" s="956" t="s">
        <v>569</v>
      </c>
      <c r="U12" s="956" t="s">
        <v>566</v>
      </c>
      <c r="V12" s="956" t="s">
        <v>567</v>
      </c>
      <c r="Y12" s="958"/>
    </row>
    <row r="13" spans="1:25">
      <c r="A13" s="958" t="s">
        <v>601</v>
      </c>
      <c r="B13" t="s">
        <v>570</v>
      </c>
      <c r="C13" s="957"/>
      <c r="D13" s="1392">
        <f>SUMIF('FTE List'!$K$9:$K$141,A13,'FTE List'!$D$9:$D$141)</f>
        <v>0</v>
      </c>
      <c r="E13" s="957"/>
      <c r="F13" s="1031">
        <v>0</v>
      </c>
      <c r="G13" s="1392">
        <f>SUMIF('FTE List'!$K$9:$K$141,D13,'FTE List'!$I$9:$I$141)</f>
        <v>0</v>
      </c>
      <c r="H13" s="959">
        <f>G13*(1+'Pay Scales'!$Q$4)</f>
        <v>0</v>
      </c>
      <c r="I13" s="939"/>
      <c r="J13" s="978"/>
      <c r="K13" s="1402">
        <f>ROUND(D13*0.85,0)</f>
        <v>0</v>
      </c>
      <c r="L13" s="1247">
        <f>0.85*G13</f>
        <v>0</v>
      </c>
      <c r="M13" s="960"/>
      <c r="N13" s="960"/>
      <c r="O13" s="960"/>
      <c r="P13" s="960"/>
      <c r="Q13" s="978"/>
      <c r="R13" s="1402">
        <f>K13-F13</f>
        <v>0</v>
      </c>
      <c r="S13" s="1247">
        <f t="shared" ref="S13:S19" si="0">IF(K13&gt;0,ROUND(R13*(L13/K13),0),0)</f>
        <v>0</v>
      </c>
      <c r="T13" s="1247">
        <f>ROUND(S13/0.7 - S13,0)</f>
        <v>0</v>
      </c>
      <c r="U13" s="1247">
        <f>ROUND((S13+T13)*-0.05,0)</f>
        <v>0</v>
      </c>
      <c r="V13" s="1248">
        <f>S13+T13+U13</f>
        <v>0</v>
      </c>
    </row>
    <row r="14" spans="1:25">
      <c r="A14" s="958" t="s">
        <v>34</v>
      </c>
      <c r="B14" t="s">
        <v>571</v>
      </c>
      <c r="C14" s="957"/>
      <c r="D14" s="1392">
        <f>SUMIF('FTE List'!$K$9:$K$141,A14,'FTE List'!$D$9:$D$141)</f>
        <v>0</v>
      </c>
      <c r="E14" s="957"/>
      <c r="F14" s="1031">
        <v>0</v>
      </c>
      <c r="G14" s="1392">
        <f>SUMIF('FTE List'!$K$9:$K$141,D14,'FTE List'!$I$9:$I$141)</f>
        <v>0</v>
      </c>
      <c r="H14" s="959">
        <f>G14*(1+'Pay Scales'!$Q$4)</f>
        <v>0</v>
      </c>
      <c r="I14" s="939"/>
      <c r="J14" s="978"/>
      <c r="K14" s="1402">
        <f t="shared" ref="K14:K20" si="1">ROUND(D14*0.85,0)</f>
        <v>0</v>
      </c>
      <c r="L14" s="1247">
        <f t="shared" ref="L14:L20" si="2">0.85*G14</f>
        <v>0</v>
      </c>
      <c r="M14" s="960"/>
      <c r="N14" s="960"/>
      <c r="O14" s="960"/>
      <c r="P14" s="961"/>
      <c r="Q14" s="978"/>
      <c r="R14" s="1402">
        <f t="shared" ref="R14:R20" si="3">K14-F14</f>
        <v>0</v>
      </c>
      <c r="S14" s="1247">
        <f t="shared" si="0"/>
        <v>0</v>
      </c>
      <c r="T14" s="1247">
        <f t="shared" ref="T14:T20" si="4">ROUND(S14/0.7 - S14,0)</f>
        <v>0</v>
      </c>
      <c r="U14" s="1247">
        <f t="shared" ref="U14:U20" si="5">ROUND((S14+T14)*-0.05,0)</f>
        <v>0</v>
      </c>
      <c r="V14" s="1248">
        <f t="shared" ref="V14:V20" si="6">S14+T14+U14</f>
        <v>0</v>
      </c>
    </row>
    <row r="15" spans="1:25">
      <c r="A15" s="958" t="s">
        <v>36</v>
      </c>
      <c r="B15" t="s">
        <v>36</v>
      </c>
      <c r="C15" s="957"/>
      <c r="D15" s="1392">
        <f>SUMIF('FTE List'!$K$9:$K$141,A15,'FTE List'!$D$9:$D$141)</f>
        <v>0</v>
      </c>
      <c r="E15" s="957"/>
      <c r="F15" s="1031">
        <v>0</v>
      </c>
      <c r="G15" s="1392">
        <f>SUMIF('FTE List'!$K$9:$K$141,D15,'FTE List'!$I$9:$I$141)</f>
        <v>0</v>
      </c>
      <c r="H15" s="959">
        <f>G15*(1+'Pay Scales'!$Q$4)</f>
        <v>0</v>
      </c>
      <c r="I15" s="939"/>
      <c r="J15" s="978"/>
      <c r="K15" s="1402">
        <f t="shared" si="1"/>
        <v>0</v>
      </c>
      <c r="L15" s="1247">
        <f t="shared" si="2"/>
        <v>0</v>
      </c>
      <c r="M15" s="960"/>
      <c r="N15" s="960"/>
      <c r="O15" s="960"/>
      <c r="P15" s="961"/>
      <c r="Q15" s="978"/>
      <c r="R15" s="1402">
        <f t="shared" si="3"/>
        <v>0</v>
      </c>
      <c r="S15" s="1247">
        <f t="shared" si="0"/>
        <v>0</v>
      </c>
      <c r="T15" s="1247">
        <f t="shared" si="4"/>
        <v>0</v>
      </c>
      <c r="U15" s="1247">
        <f t="shared" si="5"/>
        <v>0</v>
      </c>
      <c r="V15" s="1248">
        <f t="shared" si="6"/>
        <v>0</v>
      </c>
    </row>
    <row r="16" spans="1:25">
      <c r="A16" s="958" t="s">
        <v>805</v>
      </c>
      <c r="B16" t="s">
        <v>806</v>
      </c>
      <c r="C16" s="957"/>
      <c r="D16" s="1392">
        <f>SUMIF('FTE List'!$K$9:$K$141,A16,'FTE List'!$D$9:$D$141)</f>
        <v>0</v>
      </c>
      <c r="E16" s="957"/>
      <c r="F16" s="1031">
        <v>0</v>
      </c>
      <c r="G16" s="1392">
        <f>SUMIF('FTE List'!$K$9:$K$141,D16,'FTE List'!$I$9:$I$141)</f>
        <v>0</v>
      </c>
      <c r="H16" s="959">
        <f>G16*(1+'Pay Scales'!$Q$4)</f>
        <v>0</v>
      </c>
      <c r="I16" s="939"/>
      <c r="J16" s="978"/>
      <c r="K16" s="1402">
        <f t="shared" si="1"/>
        <v>0</v>
      </c>
      <c r="L16" s="1247">
        <f t="shared" si="2"/>
        <v>0</v>
      </c>
      <c r="M16" s="960"/>
      <c r="N16" s="960"/>
      <c r="O16" s="960"/>
      <c r="P16" s="961"/>
      <c r="Q16" s="978"/>
      <c r="R16" s="1402">
        <f t="shared" si="3"/>
        <v>0</v>
      </c>
      <c r="S16" s="1247">
        <f t="shared" si="0"/>
        <v>0</v>
      </c>
      <c r="T16" s="1247">
        <f t="shared" si="4"/>
        <v>0</v>
      </c>
      <c r="U16" s="1247">
        <f t="shared" si="5"/>
        <v>0</v>
      </c>
      <c r="V16" s="1248">
        <f t="shared" si="6"/>
        <v>0</v>
      </c>
    </row>
    <row r="17" spans="1:22">
      <c r="A17" s="958" t="s">
        <v>602</v>
      </c>
      <c r="B17" t="s">
        <v>38</v>
      </c>
      <c r="C17" s="957"/>
      <c r="D17" s="1392">
        <f>SUMIF('FTE List'!$K$9:$K$141,A17,'FTE List'!$D$9:$D$141)</f>
        <v>0</v>
      </c>
      <c r="E17" s="957"/>
      <c r="F17" s="1031">
        <v>0</v>
      </c>
      <c r="G17" s="1392">
        <f>SUMIF('FTE List'!$K$9:$K$141,D17,'FTE List'!$I$9:$I$141)</f>
        <v>0</v>
      </c>
      <c r="H17" s="959">
        <f>G17*(1+'Pay Scales'!$Q$4)</f>
        <v>0</v>
      </c>
      <c r="I17" s="939"/>
      <c r="J17" s="978"/>
      <c r="K17" s="1402">
        <f t="shared" si="1"/>
        <v>0</v>
      </c>
      <c r="L17" s="1247">
        <f t="shared" si="2"/>
        <v>0</v>
      </c>
      <c r="M17" s="960"/>
      <c r="N17" s="960"/>
      <c r="O17" s="960"/>
      <c r="P17" s="961"/>
      <c r="Q17" s="978"/>
      <c r="R17" s="1402">
        <f t="shared" si="3"/>
        <v>0</v>
      </c>
      <c r="S17" s="1247">
        <f t="shared" si="0"/>
        <v>0</v>
      </c>
      <c r="T17" s="1247">
        <f t="shared" si="4"/>
        <v>0</v>
      </c>
      <c r="U17" s="1247">
        <f t="shared" si="5"/>
        <v>0</v>
      </c>
      <c r="V17" s="1248">
        <f t="shared" si="6"/>
        <v>0</v>
      </c>
    </row>
    <row r="18" spans="1:22">
      <c r="A18" s="958" t="s">
        <v>42</v>
      </c>
      <c r="B18" t="s">
        <v>42</v>
      </c>
      <c r="C18" s="957"/>
      <c r="D18" s="1392">
        <f>SUMIF('FTE List'!$K$9:$K$141,A18,'FTE List'!$D$9:$D$141)</f>
        <v>0</v>
      </c>
      <c r="E18" s="957"/>
      <c r="F18" s="1031">
        <v>0</v>
      </c>
      <c r="G18" s="1392">
        <f>SUMIF('FTE List'!$K$9:$K$141,D18,'FTE List'!$I$9:$I$141)</f>
        <v>0</v>
      </c>
      <c r="H18" s="959">
        <f>G18*(1+'Pay Scales'!$Q$4)</f>
        <v>0</v>
      </c>
      <c r="I18" s="939"/>
      <c r="J18" s="978"/>
      <c r="K18" s="1402">
        <f t="shared" si="1"/>
        <v>0</v>
      </c>
      <c r="L18" s="1247">
        <f t="shared" si="2"/>
        <v>0</v>
      </c>
      <c r="M18" s="960"/>
      <c r="N18" s="960"/>
      <c r="O18" s="960"/>
      <c r="P18" s="961"/>
      <c r="Q18" s="978"/>
      <c r="R18" s="1402">
        <f t="shared" si="3"/>
        <v>0</v>
      </c>
      <c r="S18" s="1247">
        <f t="shared" si="0"/>
        <v>0</v>
      </c>
      <c r="T18" s="1247">
        <f t="shared" si="4"/>
        <v>0</v>
      </c>
      <c r="U18" s="1247">
        <f t="shared" si="5"/>
        <v>0</v>
      </c>
      <c r="V18" s="1248">
        <f t="shared" si="6"/>
        <v>0</v>
      </c>
    </row>
    <row r="19" spans="1:22">
      <c r="A19" s="958" t="s">
        <v>492</v>
      </c>
      <c r="B19" t="s">
        <v>572</v>
      </c>
      <c r="C19" s="957"/>
      <c r="D19" s="1392">
        <f>SUMIF('FTE List'!$K$9:$K$141,A19,'FTE List'!$D$9:$D$141)</f>
        <v>0</v>
      </c>
      <c r="E19" s="957"/>
      <c r="F19" s="1031">
        <v>0</v>
      </c>
      <c r="G19" s="1392">
        <f>SUMIF('FTE List'!$K$9:$K$141,D19,'FTE List'!$I$9:$I$141)</f>
        <v>0</v>
      </c>
      <c r="H19" s="959">
        <f>G19*(1+'Pay Scales'!$Q$4)</f>
        <v>0</v>
      </c>
      <c r="I19" s="939"/>
      <c r="J19" s="978"/>
      <c r="K19" s="1402">
        <f t="shared" si="1"/>
        <v>0</v>
      </c>
      <c r="L19" s="1247">
        <f t="shared" si="2"/>
        <v>0</v>
      </c>
      <c r="M19" s="960"/>
      <c r="N19" s="960"/>
      <c r="O19" s="960"/>
      <c r="P19" s="961"/>
      <c r="Q19" s="978"/>
      <c r="R19" s="1402">
        <f t="shared" si="3"/>
        <v>0</v>
      </c>
      <c r="S19" s="1247">
        <f t="shared" si="0"/>
        <v>0</v>
      </c>
      <c r="T19" s="1247">
        <f t="shared" si="4"/>
        <v>0</v>
      </c>
      <c r="U19" s="1247">
        <f t="shared" si="5"/>
        <v>0</v>
      </c>
      <c r="V19" s="1248">
        <f t="shared" si="6"/>
        <v>0</v>
      </c>
    </row>
    <row r="20" spans="1:22">
      <c r="A20" s="958" t="s">
        <v>603</v>
      </c>
      <c r="B20" t="s">
        <v>573</v>
      </c>
      <c r="C20" s="957"/>
      <c r="D20" s="1392">
        <f>SUMIF('FTE List'!$K$9:$K$141,A20,'FTE List'!$D$9:$D$141)</f>
        <v>0</v>
      </c>
      <c r="E20" s="957"/>
      <c r="F20" s="1031">
        <v>0</v>
      </c>
      <c r="G20" s="1392">
        <f>SUMIF('FTE List'!$K$9:$K$141,D20,'FTE List'!$I$9:$I$141)</f>
        <v>0</v>
      </c>
      <c r="H20" s="959">
        <f>G20*(1+'Pay Scales'!$Q$4)</f>
        <v>0</v>
      </c>
      <c r="I20" s="939"/>
      <c r="J20" s="978"/>
      <c r="K20" s="1402">
        <f t="shared" si="1"/>
        <v>0</v>
      </c>
      <c r="L20" s="1247">
        <f t="shared" si="2"/>
        <v>0</v>
      </c>
      <c r="M20" s="960"/>
      <c r="N20" s="960"/>
      <c r="O20" s="960"/>
      <c r="P20" s="961"/>
      <c r="Q20" s="978"/>
      <c r="R20" s="1402">
        <f t="shared" si="3"/>
        <v>0</v>
      </c>
      <c r="S20" s="1247">
        <f>IF(K20&gt;0,ROUND(R20*(L20/K20),0),0)</f>
        <v>0</v>
      </c>
      <c r="T20" s="1247">
        <f t="shared" si="4"/>
        <v>0</v>
      </c>
      <c r="U20" s="1247">
        <f t="shared" si="5"/>
        <v>0</v>
      </c>
      <c r="V20" s="1248">
        <f t="shared" si="6"/>
        <v>0</v>
      </c>
    </row>
    <row r="21" spans="1:22">
      <c r="B21" t="s">
        <v>563</v>
      </c>
      <c r="C21" s="957"/>
      <c r="D21" s="957"/>
      <c r="E21" s="957"/>
      <c r="F21" s="957"/>
      <c r="G21" s="959"/>
      <c r="H21" s="959"/>
      <c r="I21" s="968"/>
      <c r="J21" s="978"/>
      <c r="K21" s="1402"/>
      <c r="L21" s="1247">
        <v>4</v>
      </c>
      <c r="M21" s="960"/>
      <c r="N21" s="960"/>
      <c r="O21" s="960"/>
      <c r="P21" s="961"/>
      <c r="Q21" s="978"/>
      <c r="R21" s="1402"/>
      <c r="S21" s="1247"/>
      <c r="T21" s="1247">
        <v>0</v>
      </c>
      <c r="U21" s="1247">
        <f>-SUM(U13:U20)</f>
        <v>0</v>
      </c>
      <c r="V21" s="1248">
        <f>S21+T21+U21</f>
        <v>0</v>
      </c>
    </row>
    <row r="22" spans="1:22" ht="16.5" thickBot="1">
      <c r="B22" s="962" t="s">
        <v>567</v>
      </c>
      <c r="C22" s="963"/>
      <c r="D22" s="1393">
        <f>SUM(D13:D21)</f>
        <v>0</v>
      </c>
      <c r="E22" s="963"/>
      <c r="F22" s="964">
        <f>SUM(F13:F21)</f>
        <v>0</v>
      </c>
      <c r="G22" s="1249">
        <f>SUM(G13:G21)</f>
        <v>0</v>
      </c>
      <c r="H22" s="1249">
        <f>SUM(H13:H21)</f>
        <v>0</v>
      </c>
      <c r="I22" s="968"/>
      <c r="J22" s="969"/>
      <c r="K22" s="1403">
        <f>SUM(K13:K21)</f>
        <v>0</v>
      </c>
      <c r="L22" s="1250">
        <f>SUM(L13:L21)</f>
        <v>4</v>
      </c>
      <c r="M22" s="965"/>
      <c r="N22" s="965"/>
      <c r="O22" s="965"/>
      <c r="P22" s="966"/>
      <c r="Q22" s="969"/>
      <c r="R22" s="1403">
        <f>SUM(R13:R21)</f>
        <v>0</v>
      </c>
      <c r="S22" s="1250">
        <f>SUM(S13:S21)</f>
        <v>0</v>
      </c>
      <c r="T22" s="1250">
        <f>SUM(T13:T21)</f>
        <v>0</v>
      </c>
      <c r="U22" s="1250">
        <f>SUM(U13:U21)</f>
        <v>0</v>
      </c>
      <c r="V22" s="1250">
        <f>SUM(V13:V21)</f>
        <v>0</v>
      </c>
    </row>
    <row r="23" spans="1:22" ht="16.5" thickTop="1">
      <c r="B23" s="967"/>
      <c r="C23" s="968"/>
      <c r="D23" s="968"/>
      <c r="E23" s="968"/>
      <c r="F23" s="968"/>
      <c r="H23" s="952"/>
      <c r="I23" s="968"/>
      <c r="J23" s="969"/>
      <c r="K23" s="969"/>
      <c r="L23" s="969"/>
      <c r="M23" s="969"/>
      <c r="N23" s="969"/>
      <c r="O23" s="969"/>
      <c r="P23" s="966"/>
      <c r="Q23" s="967"/>
      <c r="R23" s="969"/>
      <c r="S23" s="969"/>
      <c r="T23" s="969"/>
      <c r="U23" s="969"/>
    </row>
    <row r="24" spans="1:22">
      <c r="B24" s="967"/>
      <c r="C24" s="968"/>
      <c r="D24" s="968"/>
      <c r="E24" s="968"/>
      <c r="F24" s="968"/>
      <c r="H24" s="952"/>
      <c r="I24" s="968"/>
      <c r="J24" s="969"/>
      <c r="K24" s="969"/>
      <c r="L24" s="969"/>
      <c r="M24" s="969"/>
      <c r="N24" s="969"/>
      <c r="O24" s="969"/>
      <c r="P24" s="966"/>
      <c r="Q24" s="969"/>
      <c r="R24" s="969"/>
      <c r="S24" s="969"/>
      <c r="T24" s="969"/>
      <c r="U24" s="970" t="e">
        <f>S22/V22</f>
        <v>#DIV/0!</v>
      </c>
    </row>
    <row r="25" spans="1:22">
      <c r="B25" s="967"/>
      <c r="C25" s="968"/>
      <c r="D25" s="968"/>
      <c r="E25" s="968"/>
      <c r="F25" s="968"/>
      <c r="H25" s="952"/>
      <c r="I25" s="968"/>
      <c r="J25" s="969"/>
      <c r="K25" s="969"/>
      <c r="L25" s="969"/>
      <c r="M25" s="969"/>
      <c r="N25" s="969"/>
      <c r="O25" s="969"/>
      <c r="P25" s="966"/>
      <c r="Q25" s="969"/>
      <c r="R25" s="969"/>
      <c r="S25" s="969"/>
      <c r="T25" s="969"/>
      <c r="U25" s="969"/>
    </row>
    <row r="26" spans="1:22">
      <c r="B26" s="967"/>
      <c r="C26" s="971" t="s">
        <v>574</v>
      </c>
      <c r="D26" s="968"/>
      <c r="E26" s="968"/>
      <c r="F26" s="968"/>
      <c r="H26" s="952"/>
      <c r="I26" s="968"/>
      <c r="K26" s="972" t="s">
        <v>575</v>
      </c>
      <c r="L26" s="969" t="s">
        <v>807</v>
      </c>
      <c r="M26" s="969"/>
      <c r="N26" s="969"/>
      <c r="O26" s="969"/>
      <c r="P26" s="966"/>
      <c r="Q26" s="969"/>
      <c r="R26" s="969"/>
      <c r="S26" s="969"/>
      <c r="T26" s="969"/>
      <c r="U26" s="969"/>
    </row>
    <row r="27" spans="1:22">
      <c r="B27" s="940"/>
      <c r="C27" s="971" t="str">
        <f>"FY "&amp;'Facility Info'!$E$14-1  &amp;"  Budget Request"</f>
        <v>FY 2018  Budget Request</v>
      </c>
      <c r="D27" s="106"/>
      <c r="E27" s="967"/>
      <c r="F27" s="967"/>
      <c r="G27" s="967"/>
      <c r="H27" s="967"/>
      <c r="I27" s="967"/>
      <c r="K27" s="971" t="str">
        <f>"FY "&amp;'Facility Info'!$E$14  &amp;"  Budget Request"</f>
        <v>FY 2019  Budget Request</v>
      </c>
      <c r="L27" s="967"/>
      <c r="M27" s="967"/>
      <c r="N27" s="967"/>
      <c r="O27" s="967"/>
      <c r="P27" s="106"/>
      <c r="Q27" s="939"/>
      <c r="R27" s="971" t="s">
        <v>576</v>
      </c>
      <c r="S27" s="939"/>
      <c r="T27" s="939"/>
      <c r="U27" s="939"/>
    </row>
    <row r="28" spans="1:22">
      <c r="B28" s="940"/>
      <c r="C28" s="967" t="s">
        <v>577</v>
      </c>
      <c r="D28" s="106"/>
      <c r="E28" s="967"/>
      <c r="F28" s="967"/>
      <c r="G28" s="967"/>
      <c r="H28" s="967"/>
      <c r="I28" s="967"/>
      <c r="J28" s="967"/>
      <c r="K28" s="967" t="s">
        <v>578</v>
      </c>
      <c r="L28" s="967"/>
      <c r="M28" s="967"/>
      <c r="N28" s="967"/>
      <c r="O28" s="967"/>
      <c r="P28" s="106"/>
      <c r="Q28" s="939"/>
      <c r="R28" s="967" t="s">
        <v>555</v>
      </c>
      <c r="S28" s="939"/>
      <c r="T28" s="939"/>
      <c r="U28" s="939"/>
    </row>
    <row r="29" spans="1:22">
      <c r="B29" s="940"/>
      <c r="C29" s="106"/>
      <c r="D29" s="967"/>
      <c r="E29" s="967"/>
      <c r="F29" s="967"/>
      <c r="G29" s="967"/>
      <c r="H29" s="967"/>
      <c r="I29" s="967"/>
      <c r="J29" s="967"/>
      <c r="K29" s="967" t="s">
        <v>579</v>
      </c>
      <c r="L29" s="967"/>
      <c r="M29" s="967"/>
      <c r="N29" s="967"/>
      <c r="O29" s="967"/>
      <c r="P29" s="106"/>
      <c r="Q29" s="967"/>
      <c r="R29" s="967" t="s">
        <v>556</v>
      </c>
      <c r="S29" s="967"/>
      <c r="T29" s="967"/>
      <c r="U29" s="967"/>
    </row>
    <row r="30" spans="1:22">
      <c r="B30" s="940"/>
      <c r="C30" s="967"/>
      <c r="D30" s="967"/>
      <c r="E30" s="967"/>
      <c r="F30" s="967"/>
      <c r="G30" s="967"/>
      <c r="H30" s="967"/>
      <c r="I30" s="967"/>
      <c r="J30" s="967"/>
      <c r="K30" s="967" t="s">
        <v>556</v>
      </c>
      <c r="L30" s="967"/>
      <c r="M30" s="967"/>
      <c r="N30" s="967"/>
      <c r="O30" s="967"/>
      <c r="P30" s="106"/>
      <c r="Q30" s="967"/>
      <c r="R30" s="106"/>
      <c r="S30" s="967"/>
      <c r="T30" s="967"/>
      <c r="U30" s="967"/>
    </row>
    <row r="31" spans="1:22" ht="16.5" thickBot="1">
      <c r="B31" s="940"/>
      <c r="C31" s="968"/>
      <c r="D31" s="968"/>
      <c r="E31" s="968"/>
      <c r="F31" s="968"/>
      <c r="G31" s="968"/>
      <c r="H31" s="968"/>
      <c r="I31" s="967"/>
      <c r="J31" s="968"/>
      <c r="K31" s="948"/>
      <c r="L31" s="948"/>
      <c r="M31" s="948"/>
      <c r="N31" s="948"/>
      <c r="O31" s="948"/>
      <c r="P31" s="106"/>
      <c r="Q31" s="968"/>
      <c r="R31" s="948"/>
      <c r="S31" s="948"/>
      <c r="T31" s="948"/>
      <c r="U31" s="948"/>
    </row>
    <row r="32" spans="1:22" ht="16.5" thickTop="1">
      <c r="B32" s="973"/>
      <c r="C32" s="974"/>
      <c r="D32" s="974"/>
      <c r="E32" s="974"/>
      <c r="F32" s="974"/>
      <c r="G32" s="974" t="s">
        <v>563</v>
      </c>
      <c r="H32" s="974"/>
      <c r="I32" s="967"/>
      <c r="J32" s="968"/>
      <c r="K32" s="974"/>
      <c r="L32" s="974"/>
      <c r="M32" s="974"/>
      <c r="N32" s="974" t="s">
        <v>563</v>
      </c>
      <c r="O32" s="974"/>
      <c r="P32" s="106"/>
      <c r="Q32" s="968"/>
      <c r="R32" s="968"/>
      <c r="S32" s="968"/>
      <c r="T32" s="968"/>
      <c r="U32" s="968" t="s">
        <v>563</v>
      </c>
      <c r="V32" s="973"/>
    </row>
    <row r="33" spans="2:22" ht="16.5" thickBot="1">
      <c r="B33" s="1034" t="s">
        <v>564</v>
      </c>
      <c r="C33" s="975"/>
      <c r="D33" s="975" t="s">
        <v>329</v>
      </c>
      <c r="E33" s="975" t="s">
        <v>478</v>
      </c>
      <c r="F33" s="975" t="s">
        <v>565</v>
      </c>
      <c r="G33" s="975" t="s">
        <v>566</v>
      </c>
      <c r="H33" s="975" t="s">
        <v>567</v>
      </c>
      <c r="I33" s="967"/>
      <c r="J33" s="968"/>
      <c r="K33" s="956" t="s">
        <v>329</v>
      </c>
      <c r="L33" s="956" t="s">
        <v>478</v>
      </c>
      <c r="M33" s="956" t="s">
        <v>565</v>
      </c>
      <c r="N33" s="956" t="s">
        <v>566</v>
      </c>
      <c r="O33" s="956" t="s">
        <v>567</v>
      </c>
      <c r="P33" s="106"/>
      <c r="Q33" s="968"/>
      <c r="R33" s="956" t="s">
        <v>329</v>
      </c>
      <c r="S33" s="956" t="s">
        <v>478</v>
      </c>
      <c r="T33" s="956" t="s">
        <v>565</v>
      </c>
      <c r="U33" s="956" t="s">
        <v>566</v>
      </c>
      <c r="V33" s="976" t="s">
        <v>567</v>
      </c>
    </row>
    <row r="34" spans="2:22" ht="16.5" thickTop="1">
      <c r="B34" s="977" t="s">
        <v>570</v>
      </c>
      <c r="C34" s="978"/>
      <c r="D34" s="1405">
        <v>0</v>
      </c>
      <c r="E34" s="1251">
        <v>0</v>
      </c>
      <c r="F34" s="1252">
        <v>0</v>
      </c>
      <c r="G34" s="1247">
        <f>ROUND((E34+F34)*-0.05,-3)</f>
        <v>0</v>
      </c>
      <c r="H34" s="1248">
        <f>E34+F34+G34</f>
        <v>0</v>
      </c>
      <c r="I34" s="1032"/>
      <c r="J34" s="978"/>
      <c r="K34" s="1404">
        <f t="shared" ref="K34:K41" si="7">R13-D34</f>
        <v>0</v>
      </c>
      <c r="L34" s="1253">
        <f t="shared" ref="L34:L41" si="8">IF(D13&gt;0,ROUND(K34*G13/D13,0),0)</f>
        <v>0</v>
      </c>
      <c r="M34" s="1253">
        <f>ROUND(L34/0.7-L34,0)</f>
        <v>0</v>
      </c>
      <c r="N34" s="1253">
        <f>ROUND((L34+M34)*-0.05,0)</f>
        <v>0</v>
      </c>
      <c r="O34" s="1253">
        <f>L34+M34+N34</f>
        <v>0</v>
      </c>
      <c r="P34" s="960"/>
      <c r="Q34" s="978"/>
      <c r="R34" s="1404">
        <f>D34+K34</f>
        <v>0</v>
      </c>
      <c r="S34" s="1253">
        <f>E34+L34</f>
        <v>0</v>
      </c>
      <c r="T34" s="1253">
        <f>F34+M34</f>
        <v>0</v>
      </c>
      <c r="U34" s="1253">
        <f>G34+N34</f>
        <v>0</v>
      </c>
      <c r="V34" s="1253">
        <f>H34+O34</f>
        <v>0</v>
      </c>
    </row>
    <row r="35" spans="2:22">
      <c r="B35" s="977" t="s">
        <v>571</v>
      </c>
      <c r="C35" s="978"/>
      <c r="D35" s="1405">
        <v>0</v>
      </c>
      <c r="E35" s="1251">
        <v>0</v>
      </c>
      <c r="F35" s="1252">
        <v>0</v>
      </c>
      <c r="G35" s="1247">
        <f t="shared" ref="G35:G41" si="9">ROUND((E35+F35)*-0.05,-3)</f>
        <v>0</v>
      </c>
      <c r="H35" s="1248">
        <f t="shared" ref="H35:H42" si="10">E35+F35+G35</f>
        <v>0</v>
      </c>
      <c r="I35" s="1032"/>
      <c r="J35" s="978"/>
      <c r="K35" s="1404">
        <f t="shared" si="7"/>
        <v>0</v>
      </c>
      <c r="L35" s="1253">
        <f t="shared" si="8"/>
        <v>0</v>
      </c>
      <c r="M35" s="1253">
        <f t="shared" ref="M35:M41" si="11">ROUND(L35/0.7-L35,0)</f>
        <v>0</v>
      </c>
      <c r="N35" s="1253">
        <f t="shared" ref="N35:N41" si="12">ROUND((L35+M35)*-0.05,0)</f>
        <v>0</v>
      </c>
      <c r="O35" s="1253">
        <f t="shared" ref="O35:O42" si="13">L35+M35+N35</f>
        <v>0</v>
      </c>
      <c r="P35" s="960"/>
      <c r="Q35" s="978"/>
      <c r="R35" s="1404">
        <f t="shared" ref="R35:V42" si="14">D35+K35</f>
        <v>0</v>
      </c>
      <c r="S35" s="1253">
        <f t="shared" si="14"/>
        <v>0</v>
      </c>
      <c r="T35" s="1253">
        <f t="shared" si="14"/>
        <v>0</v>
      </c>
      <c r="U35" s="1253">
        <f t="shared" si="14"/>
        <v>0</v>
      </c>
      <c r="V35" s="1253">
        <f t="shared" si="14"/>
        <v>0</v>
      </c>
    </row>
    <row r="36" spans="2:22">
      <c r="B36" s="977" t="s">
        <v>36</v>
      </c>
      <c r="C36" s="978"/>
      <c r="D36" s="1405">
        <v>0</v>
      </c>
      <c r="E36" s="1251">
        <v>0</v>
      </c>
      <c r="F36" s="1252">
        <v>0</v>
      </c>
      <c r="G36" s="1247">
        <f t="shared" si="9"/>
        <v>0</v>
      </c>
      <c r="H36" s="1248">
        <f t="shared" si="10"/>
        <v>0</v>
      </c>
      <c r="I36" s="1032"/>
      <c r="J36" s="978"/>
      <c r="K36" s="1404">
        <f>R15-D36</f>
        <v>0</v>
      </c>
      <c r="L36" s="1253">
        <f t="shared" si="8"/>
        <v>0</v>
      </c>
      <c r="M36" s="1253">
        <f t="shared" si="11"/>
        <v>0</v>
      </c>
      <c r="N36" s="1253">
        <f t="shared" si="12"/>
        <v>0</v>
      </c>
      <c r="O36" s="1253">
        <f t="shared" si="13"/>
        <v>0</v>
      </c>
      <c r="P36" s="960"/>
      <c r="Q36" s="978"/>
      <c r="R36" s="1404">
        <f t="shared" si="14"/>
        <v>0</v>
      </c>
      <c r="S36" s="1253">
        <f t="shared" si="14"/>
        <v>0</v>
      </c>
      <c r="T36" s="1253">
        <f t="shared" si="14"/>
        <v>0</v>
      </c>
      <c r="U36" s="1253">
        <f t="shared" si="14"/>
        <v>0</v>
      </c>
      <c r="V36" s="1253">
        <f t="shared" si="14"/>
        <v>0</v>
      </c>
    </row>
    <row r="37" spans="2:22">
      <c r="B37" s="977" t="s">
        <v>806</v>
      </c>
      <c r="C37" s="978"/>
      <c r="D37" s="1405">
        <v>0</v>
      </c>
      <c r="E37" s="1251">
        <v>0</v>
      </c>
      <c r="F37" s="1252">
        <v>0</v>
      </c>
      <c r="G37" s="1247">
        <f t="shared" si="9"/>
        <v>0</v>
      </c>
      <c r="H37" s="1248">
        <f t="shared" si="10"/>
        <v>0</v>
      </c>
      <c r="I37" s="1032"/>
      <c r="J37" s="978"/>
      <c r="K37" s="1404">
        <f t="shared" si="7"/>
        <v>0</v>
      </c>
      <c r="L37" s="1253">
        <f t="shared" si="8"/>
        <v>0</v>
      </c>
      <c r="M37" s="1253">
        <f t="shared" si="11"/>
        <v>0</v>
      </c>
      <c r="N37" s="1253">
        <f t="shared" si="12"/>
        <v>0</v>
      </c>
      <c r="O37" s="1253">
        <f t="shared" si="13"/>
        <v>0</v>
      </c>
      <c r="P37" s="960"/>
      <c r="Q37" s="978"/>
      <c r="R37" s="1404">
        <f t="shared" si="14"/>
        <v>0</v>
      </c>
      <c r="S37" s="1253">
        <f t="shared" si="14"/>
        <v>0</v>
      </c>
      <c r="T37" s="1253">
        <f t="shared" si="14"/>
        <v>0</v>
      </c>
      <c r="U37" s="1253">
        <f t="shared" si="14"/>
        <v>0</v>
      </c>
      <c r="V37" s="1253">
        <f t="shared" si="14"/>
        <v>0</v>
      </c>
    </row>
    <row r="38" spans="2:22">
      <c r="B38" s="977" t="s">
        <v>38</v>
      </c>
      <c r="C38" s="978"/>
      <c r="D38" s="1405">
        <v>0</v>
      </c>
      <c r="E38" s="1251">
        <v>0</v>
      </c>
      <c r="F38" s="1252">
        <v>0</v>
      </c>
      <c r="G38" s="1247">
        <f t="shared" si="9"/>
        <v>0</v>
      </c>
      <c r="H38" s="1248">
        <f t="shared" si="10"/>
        <v>0</v>
      </c>
      <c r="I38" s="1032"/>
      <c r="J38" s="978"/>
      <c r="K38" s="1404">
        <f t="shared" si="7"/>
        <v>0</v>
      </c>
      <c r="L38" s="1253">
        <f t="shared" si="8"/>
        <v>0</v>
      </c>
      <c r="M38" s="1253">
        <f t="shared" si="11"/>
        <v>0</v>
      </c>
      <c r="N38" s="1253">
        <f t="shared" si="12"/>
        <v>0</v>
      </c>
      <c r="O38" s="1253">
        <f t="shared" si="13"/>
        <v>0</v>
      </c>
      <c r="P38" s="960"/>
      <c r="Q38" s="978"/>
      <c r="R38" s="1404">
        <f t="shared" si="14"/>
        <v>0</v>
      </c>
      <c r="S38" s="1253">
        <f t="shared" si="14"/>
        <v>0</v>
      </c>
      <c r="T38" s="1253">
        <f t="shared" si="14"/>
        <v>0</v>
      </c>
      <c r="U38" s="1253">
        <f t="shared" si="14"/>
        <v>0</v>
      </c>
      <c r="V38" s="1253">
        <f t="shared" si="14"/>
        <v>0</v>
      </c>
    </row>
    <row r="39" spans="2:22">
      <c r="B39" s="977" t="s">
        <v>42</v>
      </c>
      <c r="C39" s="978"/>
      <c r="D39" s="1405">
        <v>0</v>
      </c>
      <c r="E39" s="1251">
        <v>0</v>
      </c>
      <c r="F39" s="1252">
        <v>0</v>
      </c>
      <c r="G39" s="1247">
        <f t="shared" si="9"/>
        <v>0</v>
      </c>
      <c r="H39" s="1248">
        <f t="shared" si="10"/>
        <v>0</v>
      </c>
      <c r="I39" s="1032"/>
      <c r="J39" s="978"/>
      <c r="K39" s="1404">
        <f t="shared" si="7"/>
        <v>0</v>
      </c>
      <c r="L39" s="1253">
        <f t="shared" si="8"/>
        <v>0</v>
      </c>
      <c r="M39" s="1253">
        <f t="shared" si="11"/>
        <v>0</v>
      </c>
      <c r="N39" s="1253">
        <f t="shared" si="12"/>
        <v>0</v>
      </c>
      <c r="O39" s="1253">
        <f t="shared" si="13"/>
        <v>0</v>
      </c>
      <c r="P39" s="960"/>
      <c r="Q39" s="978"/>
      <c r="R39" s="1404">
        <f t="shared" si="14"/>
        <v>0</v>
      </c>
      <c r="S39" s="1253">
        <f t="shared" si="14"/>
        <v>0</v>
      </c>
      <c r="T39" s="1253">
        <f t="shared" si="14"/>
        <v>0</v>
      </c>
      <c r="U39" s="1253">
        <f t="shared" si="14"/>
        <v>0</v>
      </c>
      <c r="V39" s="1253">
        <f t="shared" si="14"/>
        <v>0</v>
      </c>
    </row>
    <row r="40" spans="2:22">
      <c r="B40" s="977" t="s">
        <v>572</v>
      </c>
      <c r="C40" s="978"/>
      <c r="D40" s="1405">
        <v>0</v>
      </c>
      <c r="E40" s="1251">
        <v>0</v>
      </c>
      <c r="F40" s="1252">
        <v>0</v>
      </c>
      <c r="G40" s="1247">
        <f t="shared" si="9"/>
        <v>0</v>
      </c>
      <c r="H40" s="1248">
        <f t="shared" si="10"/>
        <v>0</v>
      </c>
      <c r="I40" s="1032"/>
      <c r="J40" s="978"/>
      <c r="K40" s="1404">
        <f t="shared" si="7"/>
        <v>0</v>
      </c>
      <c r="L40" s="1253">
        <f t="shared" si="8"/>
        <v>0</v>
      </c>
      <c r="M40" s="1253">
        <f t="shared" si="11"/>
        <v>0</v>
      </c>
      <c r="N40" s="1253">
        <f t="shared" si="12"/>
        <v>0</v>
      </c>
      <c r="O40" s="1253">
        <f t="shared" si="13"/>
        <v>0</v>
      </c>
      <c r="P40" s="960"/>
      <c r="Q40" s="978"/>
      <c r="R40" s="1404">
        <f t="shared" si="14"/>
        <v>0</v>
      </c>
      <c r="S40" s="1253">
        <f t="shared" si="14"/>
        <v>0</v>
      </c>
      <c r="T40" s="1253">
        <f t="shared" si="14"/>
        <v>0</v>
      </c>
      <c r="U40" s="1253">
        <f t="shared" si="14"/>
        <v>0</v>
      </c>
      <c r="V40" s="1253">
        <f t="shared" si="14"/>
        <v>0</v>
      </c>
    </row>
    <row r="41" spans="2:22">
      <c r="B41" s="979" t="s">
        <v>580</v>
      </c>
      <c r="C41" s="978"/>
      <c r="D41" s="1405">
        <v>0</v>
      </c>
      <c r="E41" s="1251">
        <v>0</v>
      </c>
      <c r="F41" s="1252">
        <v>0</v>
      </c>
      <c r="G41" s="1247">
        <f t="shared" si="9"/>
        <v>0</v>
      </c>
      <c r="H41" s="1248">
        <f t="shared" si="10"/>
        <v>0</v>
      </c>
      <c r="I41" s="1032"/>
      <c r="J41" s="978"/>
      <c r="K41" s="1404">
        <f t="shared" si="7"/>
        <v>0</v>
      </c>
      <c r="L41" s="1253">
        <f t="shared" si="8"/>
        <v>0</v>
      </c>
      <c r="M41" s="1253">
        <f t="shared" si="11"/>
        <v>0</v>
      </c>
      <c r="N41" s="1253">
        <f t="shared" si="12"/>
        <v>0</v>
      </c>
      <c r="O41" s="1253">
        <f t="shared" si="13"/>
        <v>0</v>
      </c>
      <c r="P41" s="960"/>
      <c r="Q41" s="978"/>
      <c r="R41" s="1404">
        <f t="shared" si="14"/>
        <v>0</v>
      </c>
      <c r="S41" s="1253">
        <f t="shared" si="14"/>
        <v>0</v>
      </c>
      <c r="T41" s="1253">
        <f t="shared" si="14"/>
        <v>0</v>
      </c>
      <c r="U41" s="1253">
        <f t="shared" si="14"/>
        <v>0</v>
      </c>
      <c r="V41" s="1253">
        <f t="shared" si="14"/>
        <v>0</v>
      </c>
    </row>
    <row r="42" spans="2:22">
      <c r="B42" s="977" t="s">
        <v>563</v>
      </c>
      <c r="C42" s="977"/>
      <c r="D42" s="1405">
        <v>0</v>
      </c>
      <c r="E42" s="1251">
        <v>0</v>
      </c>
      <c r="F42" s="1251">
        <v>0</v>
      </c>
      <c r="G42" s="1247">
        <f>-SUM(G34:G41)</f>
        <v>0</v>
      </c>
      <c r="H42" s="1248">
        <f t="shared" si="10"/>
        <v>0</v>
      </c>
      <c r="I42" s="1032"/>
      <c r="J42" s="978"/>
      <c r="K42" s="1402"/>
      <c r="L42" s="1253"/>
      <c r="M42" s="1253"/>
      <c r="N42" s="1247">
        <f>-SUM(N34:N41)</f>
        <v>0</v>
      </c>
      <c r="O42" s="1253">
        <f t="shared" si="13"/>
        <v>0</v>
      </c>
      <c r="P42" s="960"/>
      <c r="Q42" s="978"/>
      <c r="R42" s="1404"/>
      <c r="S42" s="1253"/>
      <c r="T42" s="1253"/>
      <c r="U42" s="1247">
        <f>G42+N42</f>
        <v>0</v>
      </c>
      <c r="V42" s="1253">
        <f t="shared" si="14"/>
        <v>0</v>
      </c>
    </row>
    <row r="43" spans="2:22">
      <c r="B43" s="977" t="s">
        <v>706</v>
      </c>
      <c r="C43" s="977"/>
      <c r="D43" s="1405">
        <v>0</v>
      </c>
      <c r="E43" s="1251">
        <v>0</v>
      </c>
      <c r="F43" s="1251">
        <v>0</v>
      </c>
      <c r="G43" s="1247">
        <v>0</v>
      </c>
      <c r="H43" s="1253">
        <v>0</v>
      </c>
      <c r="I43" s="1032"/>
      <c r="J43" s="978"/>
      <c r="K43" s="1402"/>
      <c r="L43" s="1253"/>
      <c r="M43" s="1253"/>
      <c r="N43" s="1247"/>
      <c r="O43" s="1247">
        <v>0</v>
      </c>
      <c r="P43" s="960"/>
      <c r="Q43" s="978"/>
      <c r="R43" s="1404"/>
      <c r="S43" s="1253"/>
      <c r="T43" s="1253"/>
      <c r="U43" s="1253"/>
      <c r="V43" s="1253">
        <v>0</v>
      </c>
    </row>
    <row r="44" spans="2:22" ht="16.5" thickBot="1">
      <c r="B44" s="980" t="s">
        <v>567</v>
      </c>
      <c r="C44" s="981"/>
      <c r="D44" s="1403">
        <f>SUM(D34:D43)</f>
        <v>0</v>
      </c>
      <c r="E44" s="1250">
        <f>SUM(E34:E43)</f>
        <v>0</v>
      </c>
      <c r="F44" s="1250">
        <f>SUM(F34:F43)</f>
        <v>0</v>
      </c>
      <c r="G44" s="1250">
        <f>SUM(G34:G42)</f>
        <v>0</v>
      </c>
      <c r="H44" s="1250">
        <f>SUM(H34:H43)</f>
        <v>0</v>
      </c>
      <c r="I44" s="967"/>
      <c r="J44" s="968"/>
      <c r="K44" s="1403">
        <f>SUM(K34:K42)</f>
        <v>0</v>
      </c>
      <c r="L44" s="1250">
        <f>SUM(L34:L42)</f>
        <v>0</v>
      </c>
      <c r="M44" s="1250">
        <f>SUM(M34:M42)</f>
        <v>0</v>
      </c>
      <c r="N44" s="1250">
        <f>SUM(N34:N42)</f>
        <v>0</v>
      </c>
      <c r="O44" s="1250">
        <f>SUM(O34:O43)</f>
        <v>0</v>
      </c>
      <c r="P44" s="106"/>
      <c r="Q44" s="968"/>
      <c r="R44" s="1403">
        <f>SUM(R34:R42)</f>
        <v>0</v>
      </c>
      <c r="S44" s="1250">
        <f>SUM(S34:S42)</f>
        <v>0</v>
      </c>
      <c r="T44" s="1250">
        <f>SUM(T34:T42)</f>
        <v>0</v>
      </c>
      <c r="U44" s="1250">
        <f>SUM(U34:U42)</f>
        <v>0</v>
      </c>
      <c r="V44" s="1254">
        <f>SUM(V34:V43)</f>
        <v>0</v>
      </c>
    </row>
    <row r="45" spans="2:22" ht="16.5" thickTop="1">
      <c r="B45" s="967"/>
      <c r="C45" s="940"/>
      <c r="D45" s="940"/>
      <c r="E45" s="940"/>
      <c r="F45" s="940"/>
      <c r="G45" s="940"/>
      <c r="H45" s="940"/>
      <c r="I45" s="967"/>
      <c r="J45" s="967"/>
      <c r="K45" s="940"/>
      <c r="L45" s="940"/>
      <c r="M45" s="940"/>
      <c r="N45" s="940"/>
      <c r="O45" s="940"/>
      <c r="P45" s="106"/>
      <c r="Q45" s="967"/>
      <c r="R45" s="939"/>
      <c r="S45" s="939"/>
      <c r="T45" s="939"/>
      <c r="U45" s="939"/>
    </row>
    <row r="46" spans="2:22">
      <c r="B46" s="939"/>
      <c r="C46" s="939"/>
      <c r="D46" s="939"/>
      <c r="E46" s="939"/>
      <c r="F46" s="939"/>
      <c r="G46" s="939"/>
      <c r="H46" s="939"/>
      <c r="I46" s="939"/>
      <c r="J46" s="939"/>
      <c r="K46" s="939"/>
      <c r="L46" s="939"/>
      <c r="M46" s="939"/>
      <c r="N46" s="939"/>
      <c r="O46" s="939"/>
      <c r="P46" s="106"/>
      <c r="Q46" s="939"/>
      <c r="R46" s="939"/>
      <c r="S46" s="939"/>
      <c r="T46" s="939"/>
      <c r="U46" s="939"/>
      <c r="V46" s="106"/>
    </row>
    <row r="47" spans="2:22">
      <c r="B47" s="939"/>
      <c r="C47" s="939"/>
      <c r="D47" s="939"/>
      <c r="E47" s="939"/>
      <c r="F47" s="939"/>
      <c r="G47" s="939"/>
      <c r="H47" s="939"/>
      <c r="I47" s="939"/>
      <c r="J47" s="939"/>
      <c r="K47" s="106"/>
      <c r="L47" s="106"/>
      <c r="M47" s="106"/>
      <c r="N47" s="106"/>
      <c r="O47" s="106"/>
      <c r="P47" s="106"/>
      <c r="Q47" s="939"/>
      <c r="R47" s="106"/>
      <c r="S47" s="106"/>
      <c r="T47" s="106"/>
      <c r="U47" s="106"/>
    </row>
  </sheetData>
  <customSheetViews>
    <customSheetView guid="{82538F0F-5202-4835-8386-243FA62C9FC1}" topLeftCell="A20">
      <selection activeCell="A41" sqref="A41"/>
      <pageMargins left="0.75" right="0.75" top="1" bottom="1" header="0.5" footer="0.5"/>
      <headerFooter alignWithMargins="0"/>
    </customSheetView>
  </customSheetViews>
  <phoneticPr fontId="10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autoPageBreaks="0" fitToPage="1"/>
  </sheetPr>
  <dimension ref="A1:AE59"/>
  <sheetViews>
    <sheetView tabSelected="1" zoomScaleNormal="100" zoomScaleSheetLayoutView="100" workbookViewId="0">
      <selection activeCell="E38" sqref="E38"/>
    </sheetView>
  </sheetViews>
  <sheetFormatPr defaultColWidth="0" defaultRowHeight="15" zeroHeight="1"/>
  <cols>
    <col min="1" max="1" width="4.125" style="3" customWidth="1" collapsed="1"/>
    <col min="2" max="2" width="4.5" style="2" customWidth="1" collapsed="1"/>
    <col min="3" max="3" width="32.625" style="3" customWidth="1" collapsed="1"/>
    <col min="4" max="4" width="14.25" style="3" customWidth="1" collapsed="1"/>
    <col min="5" max="5" width="14.5" style="1207" customWidth="1" collapsed="1"/>
    <col min="6" max="6" width="15.375" style="3" customWidth="1" collapsed="1"/>
    <col min="7" max="7" width="27.25" style="3" customWidth="1" collapsed="1"/>
    <col min="8" max="8" width="18.625" style="1216" hidden="1" customWidth="1" collapsed="1"/>
    <col min="9" max="13" width="18.625" style="3" hidden="1" customWidth="1" collapsed="1"/>
    <col min="14" max="17" width="0" style="3" hidden="1" customWidth="1" collapsed="1"/>
    <col min="18" max="21" width="18.625" style="3" hidden="1" customWidth="1" collapsed="1"/>
    <col min="22" max="22" width="3.75" style="3" customWidth="1" collapsed="1"/>
    <col min="23" max="31" width="13.875" style="3" hidden="1" customWidth="1" collapsed="1"/>
    <col min="32" max="16384" width="18.625" style="3" hidden="1" collapsed="1"/>
  </cols>
  <sheetData>
    <row r="1" spans="1:22" ht="18" customHeight="1" thickBot="1">
      <c r="A1" s="1"/>
      <c r="B1" s="1131"/>
      <c r="C1" s="1132" t="s">
        <v>1035</v>
      </c>
      <c r="D1" s="1132"/>
      <c r="E1" s="1192"/>
      <c r="F1" s="1133" t="s">
        <v>355</v>
      </c>
      <c r="G1" s="1880">
        <v>43902</v>
      </c>
    </row>
    <row r="2" spans="1:22" ht="18" customHeight="1">
      <c r="B2" s="1134"/>
      <c r="C2" s="4"/>
      <c r="D2" s="4"/>
      <c r="E2" s="1193"/>
      <c r="F2" s="1135" t="s">
        <v>0</v>
      </c>
      <c r="G2" s="1219">
        <f ca="1">NOW()</f>
        <v>43944.347985416665</v>
      </c>
      <c r="H2" s="1778"/>
      <c r="I2" s="4"/>
      <c r="T2" s="1095" t="s">
        <v>683</v>
      </c>
      <c r="U2" s="1350">
        <v>1</v>
      </c>
      <c r="V2" s="1351"/>
    </row>
    <row r="3" spans="1:22" ht="18" customHeight="1">
      <c r="B3" s="1883" t="s">
        <v>1</v>
      </c>
      <c r="C3" s="1884"/>
      <c r="D3" s="1884"/>
      <c r="E3" s="1884"/>
      <c r="F3" s="1884"/>
      <c r="G3" s="1885"/>
      <c r="H3" s="1779"/>
      <c r="I3" s="4"/>
      <c r="T3" s="1096" t="s">
        <v>1034</v>
      </c>
      <c r="U3" s="1136">
        <v>2</v>
      </c>
      <c r="V3" s="1351"/>
    </row>
    <row r="4" spans="1:22" ht="18" customHeight="1" thickBot="1">
      <c r="B4" s="1134"/>
      <c r="C4" s="4"/>
      <c r="D4" s="4"/>
      <c r="E4" s="1137" t="s">
        <v>3</v>
      </c>
      <c r="F4" s="4"/>
      <c r="G4" s="1136"/>
      <c r="H4" s="1778"/>
      <c r="I4" s="4"/>
      <c r="T4" s="1096" t="s">
        <v>4</v>
      </c>
      <c r="U4" s="1136">
        <v>3</v>
      </c>
      <c r="V4" s="1351"/>
    </row>
    <row r="5" spans="1:22" ht="18" customHeight="1">
      <c r="B5" s="867" t="s">
        <v>5</v>
      </c>
      <c r="C5" s="865" t="s">
        <v>465</v>
      </c>
      <c r="D5" s="870"/>
      <c r="E5" s="1886" t="s">
        <v>1033</v>
      </c>
      <c r="F5" s="1887"/>
      <c r="G5" s="1888"/>
      <c r="T5" s="1093" t="s">
        <v>592</v>
      </c>
      <c r="U5" s="1352">
        <v>5</v>
      </c>
      <c r="V5" s="1351"/>
    </row>
    <row r="6" spans="1:22" s="6" customFormat="1" ht="18" customHeight="1" thickBot="1">
      <c r="A6" s="5"/>
      <c r="B6" s="868" t="s">
        <v>7</v>
      </c>
      <c r="C6" s="864" t="s">
        <v>6</v>
      </c>
      <c r="D6" s="864"/>
      <c r="E6" s="1889"/>
      <c r="F6" s="1890"/>
      <c r="G6" s="1891"/>
      <c r="H6" s="941"/>
      <c r="T6" s="1094" t="s">
        <v>598</v>
      </c>
      <c r="U6" s="1353">
        <v>6</v>
      </c>
      <c r="V6" s="5"/>
    </row>
    <row r="7" spans="1:22" s="6" customFormat="1" ht="18" customHeight="1">
      <c r="A7" s="5"/>
      <c r="B7" s="869" t="s">
        <v>117</v>
      </c>
      <c r="C7" s="8" t="s">
        <v>8</v>
      </c>
      <c r="D7" s="8"/>
      <c r="E7" s="1897"/>
      <c r="F7" s="1898"/>
      <c r="G7" s="1899"/>
      <c r="H7" s="941"/>
      <c r="T7" s="6">
        <f>FAC_INFO_FAC_TYPE</f>
        <v>1</v>
      </c>
      <c r="V7" s="5"/>
    </row>
    <row r="8" spans="1:22" s="6" customFormat="1" ht="18" customHeight="1">
      <c r="A8" s="5"/>
      <c r="B8" s="869"/>
      <c r="C8" s="8" t="s">
        <v>9</v>
      </c>
      <c r="D8" s="8"/>
      <c r="E8" s="1894"/>
      <c r="F8" s="1895"/>
      <c r="G8" s="1896"/>
      <c r="H8" s="941"/>
      <c r="V8" s="5"/>
    </row>
    <row r="9" spans="1:22" s="6" customFormat="1" ht="18" customHeight="1" thickBot="1">
      <c r="A9" s="5"/>
      <c r="B9" s="869" t="s">
        <v>11</v>
      </c>
      <c r="C9" s="8" t="s">
        <v>10</v>
      </c>
      <c r="D9" s="8"/>
      <c r="E9" s="1894"/>
      <c r="F9" s="1895"/>
      <c r="G9" s="1896"/>
      <c r="H9" s="941"/>
    </row>
    <row r="10" spans="1:22" s="6" customFormat="1" ht="18" customHeight="1">
      <c r="A10" s="5"/>
      <c r="B10" s="869" t="s">
        <v>14</v>
      </c>
      <c r="C10" s="8" t="s">
        <v>12</v>
      </c>
      <c r="D10" s="8"/>
      <c r="E10" s="1894"/>
      <c r="F10" s="1895"/>
      <c r="G10" s="1896"/>
      <c r="H10" s="941"/>
      <c r="R10" s="1095" t="s">
        <v>831</v>
      </c>
      <c r="S10" s="1350">
        <v>0</v>
      </c>
    </row>
    <row r="11" spans="1:22" s="6" customFormat="1" ht="18" customHeight="1" thickBot="1">
      <c r="A11" s="5"/>
      <c r="B11" s="869"/>
      <c r="C11" s="8" t="s">
        <v>13</v>
      </c>
      <c r="D11" s="8"/>
      <c r="E11" s="1894"/>
      <c r="F11" s="1895"/>
      <c r="G11" s="1896"/>
      <c r="H11" s="941"/>
      <c r="R11" s="1094" t="s">
        <v>830</v>
      </c>
      <c r="S11" s="1358">
        <v>1</v>
      </c>
    </row>
    <row r="12" spans="1:22" s="6" customFormat="1" ht="18" customHeight="1" thickBot="1">
      <c r="A12" s="5"/>
      <c r="B12" s="869" t="s">
        <v>16</v>
      </c>
      <c r="C12" s="8" t="s">
        <v>15</v>
      </c>
      <c r="D12" s="8"/>
      <c r="E12" s="1894"/>
      <c r="F12" s="1895"/>
      <c r="G12" s="1896"/>
      <c r="H12" s="941"/>
    </row>
    <row r="13" spans="1:22" s="6" customFormat="1" ht="18" customHeight="1">
      <c r="A13" s="5"/>
      <c r="B13" s="7"/>
      <c r="C13" s="8" t="s">
        <v>17</v>
      </c>
      <c r="D13" s="1388"/>
      <c r="E13" s="1215">
        <v>1</v>
      </c>
      <c r="F13" s="1389"/>
      <c r="G13" s="1390" t="s">
        <v>18</v>
      </c>
      <c r="H13" s="1217"/>
      <c r="R13" s="1095" t="s">
        <v>19</v>
      </c>
      <c r="S13" s="1354"/>
    </row>
    <row r="14" spans="1:22" s="6" customFormat="1" ht="18" customHeight="1" thickBot="1">
      <c r="A14" s="5"/>
      <c r="B14" s="866"/>
      <c r="C14" s="9" t="s">
        <v>596</v>
      </c>
      <c r="D14" s="9"/>
      <c r="E14" s="1020">
        <v>2019</v>
      </c>
      <c r="F14" s="572"/>
      <c r="G14" s="1391">
        <f ca="1">ROUND('FTE List'!D389,0)</f>
        <v>0</v>
      </c>
      <c r="H14" s="1218"/>
      <c r="R14" s="1355" t="s">
        <v>348</v>
      </c>
      <c r="S14" s="1356" t="s">
        <v>20</v>
      </c>
    </row>
    <row r="15" spans="1:22" ht="18" customHeight="1">
      <c r="B15" s="1069" t="s">
        <v>21</v>
      </c>
      <c r="C15" s="10"/>
      <c r="D15" s="10"/>
      <c r="E15" s="1395">
        <v>0</v>
      </c>
      <c r="F15" s="574"/>
      <c r="G15" s="1892"/>
      <c r="H15" s="1357"/>
      <c r="R15" s="1096">
        <v>1</v>
      </c>
      <c r="S15" s="1136">
        <v>0</v>
      </c>
    </row>
    <row r="16" spans="1:22" ht="18" customHeight="1" thickBot="1">
      <c r="B16" s="13" t="s">
        <v>22</v>
      </c>
      <c r="C16" s="11" t="s">
        <v>605</v>
      </c>
      <c r="D16" s="11"/>
      <c r="E16" s="1194">
        <v>0</v>
      </c>
      <c r="F16" s="11" t="str">
        <f>IF(METRIC,"m²","ft²")</f>
        <v>ft²</v>
      </c>
      <c r="G16" s="1893"/>
      <c r="H16" s="1357"/>
      <c r="R16" s="1096">
        <v>2300</v>
      </c>
      <c r="S16" s="1136">
        <v>2</v>
      </c>
    </row>
    <row r="17" spans="2:20" ht="18" customHeight="1" thickBot="1">
      <c r="B17" s="13" t="s">
        <v>23</v>
      </c>
      <c r="C17" s="11" t="s">
        <v>26</v>
      </c>
      <c r="D17" s="16">
        <v>0</v>
      </c>
      <c r="E17" s="1195"/>
      <c r="F17" s="17"/>
      <c r="G17" s="1893"/>
      <c r="H17" s="1357"/>
      <c r="J17" s="1400">
        <f>IF(METRIC,E16,E16*0.09290304)</f>
        <v>0</v>
      </c>
      <c r="K17" s="3" t="s">
        <v>832</v>
      </c>
      <c r="R17" s="1096">
        <v>3900</v>
      </c>
      <c r="S17" s="1136">
        <v>3</v>
      </c>
    </row>
    <row r="18" spans="2:20" ht="18" customHeight="1">
      <c r="B18" s="13" t="s">
        <v>24</v>
      </c>
      <c r="C18" s="18" t="s">
        <v>27</v>
      </c>
      <c r="D18" s="573">
        <v>0</v>
      </c>
      <c r="E18" s="1196">
        <f>IF(D18&gt;0,D18,IF(METRIC,D17*167,D17*1780))</f>
        <v>0</v>
      </c>
      <c r="F18" s="11" t="str">
        <f>IF(METRIC,"m²","ft²")</f>
        <v>ft²</v>
      </c>
      <c r="G18" s="1893"/>
      <c r="H18" s="1357"/>
      <c r="J18" s="1399">
        <f>IF(METRIC,E18,E18*0.09290304)</f>
        <v>0</v>
      </c>
      <c r="K18" s="3" t="s">
        <v>833</v>
      </c>
      <c r="R18" s="1096">
        <v>5600</v>
      </c>
      <c r="S18" s="1136">
        <v>4</v>
      </c>
    </row>
    <row r="19" spans="2:20" ht="18" customHeight="1">
      <c r="B19" s="13"/>
      <c r="C19" s="15" t="str">
        <f>IF(METRIC,"TOTAL SQUARE METERS","TOTAL SQUARE FEET")</f>
        <v>TOTAL SQUARE FEET</v>
      </c>
      <c r="D19" s="11"/>
      <c r="E19" s="1197">
        <f>E18+E16</f>
        <v>0</v>
      </c>
      <c r="F19" s="11" t="str">
        <f>IF(METRIC,"m²","ft²")</f>
        <v>ft²</v>
      </c>
      <c r="G19" s="1893"/>
      <c r="H19" s="1357"/>
      <c r="J19" s="1197">
        <f>J18+J17</f>
        <v>0</v>
      </c>
      <c r="K19" s="3" t="s">
        <v>834</v>
      </c>
      <c r="R19" s="1096">
        <v>8400</v>
      </c>
      <c r="S19" s="1136">
        <v>6</v>
      </c>
    </row>
    <row r="20" spans="2:20" ht="18" customHeight="1">
      <c r="B20" s="13" t="s">
        <v>25</v>
      </c>
      <c r="C20" s="18" t="s">
        <v>503</v>
      </c>
      <c r="D20" s="18"/>
      <c r="E20" s="1198">
        <v>0</v>
      </c>
      <c r="F20" s="11" t="s">
        <v>504</v>
      </c>
      <c r="G20" s="1893"/>
      <c r="H20" s="1357"/>
      <c r="R20" s="1096">
        <v>11100</v>
      </c>
      <c r="S20" s="1136">
        <v>7</v>
      </c>
    </row>
    <row r="21" spans="2:20" ht="18" customHeight="1" thickBot="1">
      <c r="B21" s="19" t="s">
        <v>28</v>
      </c>
      <c r="C21" s="11"/>
      <c r="D21" s="11"/>
      <c r="E21" s="1199"/>
      <c r="F21" s="20"/>
      <c r="G21" s="1893"/>
      <c r="H21" s="1357"/>
      <c r="R21" s="1097">
        <v>16700</v>
      </c>
      <c r="S21" s="1358">
        <v>10</v>
      </c>
    </row>
    <row r="22" spans="2:20" ht="18" customHeight="1">
      <c r="B22" s="21">
        <v>11</v>
      </c>
      <c r="C22" s="11" t="s">
        <v>506</v>
      </c>
      <c r="D22" s="1407"/>
      <c r="E22" s="1408">
        <f>ROUNDUP(IF(D22&gt;0,D22,IF(METRIC,J22,J22/0.404686)),0)</f>
        <v>0</v>
      </c>
      <c r="F22" s="11" t="str">
        <f>IF(METRIC,"hectares","acres")</f>
        <v>acres</v>
      </c>
      <c r="G22" s="1893"/>
      <c r="H22" s="1357"/>
      <c r="J22" s="1394">
        <f>IF(J19,VLOOKUP(J19,R15:S21,2)+D17*0.14175,0)</f>
        <v>0</v>
      </c>
      <c r="K22" s="3" t="s">
        <v>835</v>
      </c>
    </row>
    <row r="23" spans="2:20" ht="18" customHeight="1" thickBot="1">
      <c r="B23" s="575" t="s">
        <v>29</v>
      </c>
      <c r="C23" s="4"/>
      <c r="D23" s="4"/>
      <c r="E23" s="1200"/>
      <c r="F23" s="24"/>
      <c r="G23" s="1359"/>
      <c r="H23" s="1357"/>
      <c r="J23" s="3">
        <f>IF(METRIC,E22,E22*0.4046856422)</f>
        <v>0</v>
      </c>
      <c r="T23" s="1361"/>
    </row>
    <row r="24" spans="2:20" ht="18" customHeight="1" thickBot="1">
      <c r="B24" s="25">
        <v>12</v>
      </c>
      <c r="C24" s="10" t="s">
        <v>30</v>
      </c>
      <c r="D24" s="10"/>
      <c r="E24" s="1210"/>
      <c r="F24" s="26"/>
      <c r="G24" s="1881"/>
      <c r="H24" s="1360"/>
      <c r="J24" s="23" t="e">
        <f>VLOOKUP(J19,R15:S21,2)</f>
        <v>#N/A</v>
      </c>
      <c r="T24" s="1361"/>
    </row>
    <row r="25" spans="2:20" ht="18" customHeight="1" thickBot="1">
      <c r="B25" s="27">
        <f t="shared" ref="B25:B34" si="0">B24+1</f>
        <v>13</v>
      </c>
      <c r="C25" s="11" t="s">
        <v>31</v>
      </c>
      <c r="D25" s="11"/>
      <c r="E25" s="1210"/>
      <c r="F25" s="1401"/>
      <c r="G25" s="1881"/>
      <c r="H25" s="1360"/>
      <c r="J25" s="23">
        <f>D17*0.14175</f>
        <v>0</v>
      </c>
      <c r="T25" s="1361"/>
    </row>
    <row r="26" spans="2:20" ht="18" customHeight="1" thickBot="1">
      <c r="B26" s="27">
        <f t="shared" si="0"/>
        <v>14</v>
      </c>
      <c r="C26" s="11" t="s">
        <v>32</v>
      </c>
      <c r="D26" s="11"/>
      <c r="E26" s="1210"/>
      <c r="F26" s="28"/>
      <c r="G26" s="1881"/>
      <c r="H26" s="1357"/>
      <c r="J26" s="23" t="e">
        <f>SUM(J24:J25)</f>
        <v>#N/A</v>
      </c>
      <c r="T26" s="1361"/>
    </row>
    <row r="27" spans="2:20" ht="18" customHeight="1" thickBot="1">
      <c r="B27" s="27">
        <f t="shared" si="0"/>
        <v>15</v>
      </c>
      <c r="C27" s="11" t="s">
        <v>33</v>
      </c>
      <c r="D27" s="11"/>
      <c r="E27" s="1210"/>
      <c r="F27" s="28"/>
      <c r="G27" s="1881"/>
      <c r="H27" s="1357"/>
      <c r="J27" s="23"/>
    </row>
    <row r="28" spans="2:20" ht="18" customHeight="1" thickBot="1">
      <c r="B28" s="27">
        <f t="shared" si="0"/>
        <v>16</v>
      </c>
      <c r="C28" s="11" t="s">
        <v>34</v>
      </c>
      <c r="D28" s="11"/>
      <c r="E28" s="1210"/>
      <c r="F28" s="28"/>
      <c r="G28" s="1881"/>
      <c r="H28" s="1357"/>
      <c r="J28" s="23"/>
    </row>
    <row r="29" spans="2:20" ht="18" customHeight="1" thickBot="1">
      <c r="B29" s="27">
        <f t="shared" si="0"/>
        <v>17</v>
      </c>
      <c r="C29" s="11" t="s">
        <v>35</v>
      </c>
      <c r="D29" s="11"/>
      <c r="E29" s="1210"/>
      <c r="F29" s="28"/>
      <c r="G29" s="1881"/>
      <c r="H29" s="1357"/>
      <c r="J29" s="23"/>
    </row>
    <row r="30" spans="2:20" ht="18" customHeight="1" thickBot="1">
      <c r="B30" s="27">
        <f t="shared" si="0"/>
        <v>18</v>
      </c>
      <c r="C30" s="11" t="s">
        <v>36</v>
      </c>
      <c r="D30" s="11"/>
      <c r="E30" s="1210"/>
      <c r="F30" s="28"/>
      <c r="G30" s="1881"/>
      <c r="H30" s="1357"/>
      <c r="R30" s="1396" t="s">
        <v>39</v>
      </c>
      <c r="S30" s="1397">
        <v>1</v>
      </c>
    </row>
    <row r="31" spans="2:20" ht="18" customHeight="1" thickBot="1">
      <c r="B31" s="27">
        <f t="shared" si="0"/>
        <v>19</v>
      </c>
      <c r="C31" s="11" t="s">
        <v>37</v>
      </c>
      <c r="D31" s="11"/>
      <c r="E31" s="1210"/>
      <c r="F31" s="28"/>
      <c r="G31" s="1881"/>
      <c r="H31" s="1357"/>
      <c r="R31" s="1398" t="s">
        <v>40</v>
      </c>
      <c r="S31" s="1372">
        <v>0</v>
      </c>
    </row>
    <row r="32" spans="2:20" ht="18" customHeight="1" thickBot="1">
      <c r="B32" s="27">
        <f t="shared" si="0"/>
        <v>20</v>
      </c>
      <c r="C32" s="11" t="s">
        <v>38</v>
      </c>
      <c r="D32" s="14"/>
      <c r="E32" s="1210"/>
      <c r="F32" s="937">
        <f>MAX(D32,E32)</f>
        <v>0</v>
      </c>
      <c r="G32" s="1881"/>
      <c r="H32" s="1357"/>
    </row>
    <row r="33" spans="2:31" ht="18" customHeight="1" thickBot="1">
      <c r="B33" s="27">
        <f t="shared" si="0"/>
        <v>21</v>
      </c>
      <c r="C33" s="11" t="s">
        <v>41</v>
      </c>
      <c r="D33" s="11"/>
      <c r="E33" s="1210"/>
      <c r="F33" s="28"/>
      <c r="G33" s="1881"/>
      <c r="H33" s="1357"/>
      <c r="R33" s="1095" t="s">
        <v>838</v>
      </c>
      <c r="S33" s="1350">
        <v>0</v>
      </c>
    </row>
    <row r="34" spans="2:31" ht="18" customHeight="1" thickBot="1">
      <c r="B34" s="29">
        <f t="shared" si="0"/>
        <v>22</v>
      </c>
      <c r="C34" s="22" t="s">
        <v>42</v>
      </c>
      <c r="D34" s="22"/>
      <c r="E34" s="1210"/>
      <c r="F34" s="30"/>
      <c r="G34" s="1882"/>
      <c r="H34" s="1357"/>
      <c r="R34" s="1096" t="s">
        <v>837</v>
      </c>
      <c r="S34" s="1136">
        <v>1</v>
      </c>
      <c r="AE34" s="1351"/>
    </row>
    <row r="35" spans="2:31" ht="18" customHeight="1" thickBot="1">
      <c r="B35" s="1070" t="s">
        <v>43</v>
      </c>
      <c r="C35" s="31"/>
      <c r="D35" s="31"/>
      <c r="E35" s="1201"/>
      <c r="F35" s="861"/>
      <c r="G35" s="1362"/>
      <c r="H35" s="1357"/>
      <c r="R35" s="1097" t="s">
        <v>773</v>
      </c>
      <c r="S35" s="1358">
        <v>2</v>
      </c>
      <c r="AE35" s="1351"/>
    </row>
    <row r="36" spans="2:31" ht="18" customHeight="1">
      <c r="B36" s="27">
        <f>B34+1</f>
        <v>23</v>
      </c>
      <c r="C36" s="11" t="s">
        <v>44</v>
      </c>
      <c r="D36" s="11"/>
      <c r="E36" s="606">
        <v>0</v>
      </c>
      <c r="F36" s="862"/>
      <c r="G36" s="1362"/>
      <c r="H36" s="1357"/>
      <c r="X36" s="1351"/>
      <c r="AB36" s="1351"/>
    </row>
    <row r="37" spans="2:31" ht="18" customHeight="1">
      <c r="B37" s="27">
        <f t="shared" ref="B37:B42" si="1">B36+1</f>
        <v>24</v>
      </c>
      <c r="C37" s="1363" t="s">
        <v>836</v>
      </c>
      <c r="D37" s="11"/>
      <c r="E37" s="1203">
        <v>0</v>
      </c>
      <c r="F37" s="862"/>
      <c r="G37" s="1362"/>
      <c r="H37" s="1357"/>
      <c r="X37" s="1351"/>
      <c r="AB37" s="1351"/>
    </row>
    <row r="38" spans="2:31" ht="18" customHeight="1" thickBot="1">
      <c r="B38" s="27">
        <f t="shared" si="1"/>
        <v>25</v>
      </c>
      <c r="C38" s="1364" t="str">
        <f>IF(METRIC,"Sq. Kilometers Served by EMS","Sq. Miles Served by EMS")</f>
        <v>Sq. Miles Served by EMS</v>
      </c>
      <c r="D38" s="11"/>
      <c r="E38" s="1202">
        <v>0</v>
      </c>
      <c r="F38" s="863"/>
      <c r="G38" s="1362"/>
      <c r="H38" s="1357"/>
      <c r="J38" s="1202">
        <f>IF(METRIC,E38,E38/0.386102)</f>
        <v>0</v>
      </c>
    </row>
    <row r="39" spans="2:31" ht="18" customHeight="1">
      <c r="B39" s="27">
        <f t="shared" si="1"/>
        <v>26</v>
      </c>
      <c r="C39" s="12" t="s">
        <v>772</v>
      </c>
      <c r="D39" s="11"/>
      <c r="E39" s="606">
        <v>0</v>
      </c>
      <c r="F39" s="863"/>
      <c r="G39" s="1362"/>
      <c r="H39" s="1357"/>
      <c r="R39" s="1095" t="s">
        <v>620</v>
      </c>
      <c r="S39" s="1350"/>
    </row>
    <row r="40" spans="2:31" ht="18" customHeight="1">
      <c r="B40" s="27">
        <f t="shared" si="1"/>
        <v>27</v>
      </c>
      <c r="C40" s="12" t="s">
        <v>45</v>
      </c>
      <c r="D40" s="11"/>
      <c r="E40" s="606">
        <v>0</v>
      </c>
      <c r="F40" s="11"/>
      <c r="G40" s="1367"/>
      <c r="H40" s="1357"/>
      <c r="R40" s="1365">
        <v>0</v>
      </c>
      <c r="S40" s="1366">
        <v>1</v>
      </c>
    </row>
    <row r="41" spans="2:31" ht="18" customHeight="1" thickBot="1">
      <c r="B41" s="27">
        <f t="shared" si="1"/>
        <v>28</v>
      </c>
      <c r="C41" s="1038" t="s">
        <v>523</v>
      </c>
      <c r="D41" s="1071"/>
      <c r="E41" s="606">
        <v>0</v>
      </c>
      <c r="F41" s="1071"/>
      <c r="G41" s="1368"/>
      <c r="H41" s="1357"/>
      <c r="R41" s="1365">
        <v>40</v>
      </c>
      <c r="S41" s="1366">
        <v>2</v>
      </c>
    </row>
    <row r="42" spans="2:31" ht="18" customHeight="1" thickTop="1">
      <c r="B42" s="27">
        <f t="shared" si="1"/>
        <v>29</v>
      </c>
      <c r="C42" s="863" t="s">
        <v>42</v>
      </c>
      <c r="D42" s="1072"/>
      <c r="E42" s="1204"/>
      <c r="F42" s="1073"/>
      <c r="G42" s="1369"/>
      <c r="H42" s="1360"/>
      <c r="R42" s="1096">
        <v>50</v>
      </c>
      <c r="S42" s="1366">
        <v>3</v>
      </c>
    </row>
    <row r="43" spans="2:31" ht="18" customHeight="1" thickBot="1">
      <c r="B43" s="27"/>
      <c r="C43" s="863"/>
      <c r="D43" s="1074"/>
      <c r="E43" s="1205"/>
      <c r="F43" s="1075"/>
      <c r="G43" s="1370"/>
      <c r="H43" s="1360"/>
      <c r="R43" s="1096">
        <v>60</v>
      </c>
      <c r="S43" s="1366">
        <v>4</v>
      </c>
    </row>
    <row r="44" spans="2:31" ht="18" customHeight="1" thickTop="1" thickBot="1">
      <c r="B44" s="27">
        <v>30</v>
      </c>
      <c r="C44" s="863" t="s">
        <v>677</v>
      </c>
      <c r="D44" s="1072"/>
      <c r="E44" s="1204"/>
      <c r="F44" s="1073"/>
      <c r="G44" s="1369"/>
      <c r="H44" s="1360"/>
      <c r="R44" s="1096">
        <v>70</v>
      </c>
      <c r="S44" s="1366">
        <v>5</v>
      </c>
    </row>
    <row r="45" spans="2:31" ht="18" customHeight="1" thickBot="1">
      <c r="B45" s="27"/>
      <c r="C45" s="863"/>
      <c r="D45" s="1074"/>
      <c r="E45" s="1205"/>
      <c r="F45" s="1075"/>
      <c r="G45" s="1370"/>
      <c r="H45" s="1360"/>
      <c r="J45" s="1095" t="s">
        <v>627</v>
      </c>
      <c r="K45" s="1092" t="b">
        <v>0</v>
      </c>
      <c r="L45" s="3">
        <f>1*K45</f>
        <v>0</v>
      </c>
      <c r="R45" s="1096">
        <v>80</v>
      </c>
      <c r="S45" s="1366">
        <v>6</v>
      </c>
    </row>
    <row r="46" spans="2:31" ht="18" customHeight="1" thickTop="1" thickBot="1">
      <c r="B46" s="29">
        <v>31</v>
      </c>
      <c r="C46" s="32" t="s">
        <v>621</v>
      </c>
      <c r="D46" s="22"/>
      <c r="E46" s="606">
        <v>1</v>
      </c>
      <c r="F46" s="22"/>
      <c r="G46" s="1371"/>
      <c r="H46" s="1360"/>
      <c r="J46" s="1096" t="s">
        <v>628</v>
      </c>
      <c r="K46" s="1090">
        <v>0</v>
      </c>
      <c r="L46" s="3">
        <f t="shared" ref="L46:L51" si="2">1*K46</f>
        <v>0</v>
      </c>
      <c r="R46" s="1096">
        <v>90</v>
      </c>
      <c r="S46" s="1366">
        <v>7</v>
      </c>
    </row>
    <row r="47" spans="2:31" ht="18" customHeight="1" thickBot="1">
      <c r="B47" s="33"/>
      <c r="C47" s="34" t="s">
        <v>619</v>
      </c>
      <c r="D47" s="35"/>
      <c r="E47" s="1206"/>
      <c r="F47" s="36" t="s">
        <v>18</v>
      </c>
      <c r="G47" s="1220">
        <f ca="1">ROUND('FTE List'!D389,0)</f>
        <v>0</v>
      </c>
      <c r="H47" s="1360"/>
      <c r="J47" s="1096" t="s">
        <v>629</v>
      </c>
      <c r="K47" s="1090" t="b">
        <v>0</v>
      </c>
      <c r="L47" s="3">
        <f t="shared" si="2"/>
        <v>0</v>
      </c>
      <c r="R47" s="1096">
        <v>100</v>
      </c>
      <c r="S47" s="1366">
        <v>8</v>
      </c>
    </row>
    <row r="48" spans="2:31" ht="18" customHeight="1">
      <c r="H48" s="1360"/>
      <c r="J48" s="1096" t="s">
        <v>630</v>
      </c>
      <c r="K48" s="1090" t="b">
        <v>0</v>
      </c>
      <c r="L48" s="3">
        <f t="shared" si="2"/>
        <v>0</v>
      </c>
      <c r="R48" s="1096">
        <v>110</v>
      </c>
      <c r="S48" s="1366">
        <v>9</v>
      </c>
      <c r="T48" s="37"/>
      <c r="U48" s="37"/>
    </row>
    <row r="49" spans="2:21" ht="18" customHeight="1">
      <c r="C49" s="576" t="s">
        <v>351</v>
      </c>
      <c r="E49" s="1208"/>
      <c r="F49" s="930"/>
      <c r="J49" s="1096" t="s">
        <v>631</v>
      </c>
      <c r="K49" s="1090" t="b">
        <v>0</v>
      </c>
      <c r="L49" s="3">
        <f t="shared" si="2"/>
        <v>0</v>
      </c>
      <c r="R49" s="1096">
        <v>120</v>
      </c>
      <c r="S49" s="1366">
        <v>10</v>
      </c>
    </row>
    <row r="50" spans="2:21" ht="18" customHeight="1">
      <c r="C50" s="577" t="s">
        <v>352</v>
      </c>
      <c r="J50" s="1096" t="s">
        <v>632</v>
      </c>
      <c r="K50" s="1090" t="b">
        <v>0</v>
      </c>
      <c r="L50" s="3">
        <f t="shared" si="2"/>
        <v>0</v>
      </c>
      <c r="R50" s="1096">
        <v>130</v>
      </c>
      <c r="S50" s="1366">
        <v>11</v>
      </c>
    </row>
    <row r="51" spans="2:21" ht="18" customHeight="1" thickBot="1">
      <c r="C51" s="579" t="s">
        <v>353</v>
      </c>
      <c r="G51" s="1076"/>
      <c r="J51" s="1097" t="s">
        <v>633</v>
      </c>
      <c r="K51" s="1091" t="b">
        <v>0</v>
      </c>
      <c r="L51" s="3">
        <f t="shared" si="2"/>
        <v>0</v>
      </c>
      <c r="R51" s="1096">
        <v>140</v>
      </c>
      <c r="S51" s="1366">
        <v>12</v>
      </c>
    </row>
    <row r="52" spans="2:21" ht="18" customHeight="1">
      <c r="C52" s="578" t="s">
        <v>354</v>
      </c>
      <c r="K52" s="3">
        <f>SUM(L45:L51)</f>
        <v>0</v>
      </c>
      <c r="R52" s="1096">
        <v>150</v>
      </c>
      <c r="S52" s="1366">
        <v>13</v>
      </c>
    </row>
    <row r="53" spans="2:21" ht="18" customHeight="1">
      <c r="C53" s="582" t="s">
        <v>357</v>
      </c>
      <c r="R53" s="1096">
        <v>160</v>
      </c>
      <c r="S53" s="1366">
        <v>14</v>
      </c>
    </row>
    <row r="54" spans="2:21" ht="18" customHeight="1" thickBot="1">
      <c r="C54" s="583" t="s">
        <v>358</v>
      </c>
      <c r="R54" s="1097">
        <v>168</v>
      </c>
      <c r="S54" s="1372">
        <v>15</v>
      </c>
    </row>
    <row r="55" spans="2:21" ht="18" customHeight="1">
      <c r="B55" s="38"/>
      <c r="C55" s="602" t="s">
        <v>359</v>
      </c>
      <c r="D55" s="37"/>
      <c r="E55" s="1209"/>
      <c r="F55" s="37"/>
      <c r="G55" s="37"/>
      <c r="J55" s="1095" t="s">
        <v>678</v>
      </c>
      <c r="K55" s="1092" t="b">
        <v>0</v>
      </c>
    </row>
    <row r="56" spans="2:21" hidden="1">
      <c r="C56" s="3" t="s">
        <v>46</v>
      </c>
      <c r="E56" s="1207">
        <f>IF(E24&gt;E25,E24,E25)</f>
        <v>0</v>
      </c>
      <c r="J56" s="1095" t="s">
        <v>681</v>
      </c>
      <c r="K56" s="1090" t="b">
        <v>0</v>
      </c>
    </row>
    <row r="57" spans="2:21" hidden="1">
      <c r="C57" s="3" t="s">
        <v>47</v>
      </c>
      <c r="J57" s="1096" t="s">
        <v>679</v>
      </c>
      <c r="K57" s="1090" t="b">
        <v>0</v>
      </c>
    </row>
    <row r="58" spans="2:21" s="37" customFormat="1" ht="20.25" hidden="1" customHeight="1" thickBot="1">
      <c r="B58" s="2"/>
      <c r="C58" s="3" t="s">
        <v>48</v>
      </c>
      <c r="D58" s="3"/>
      <c r="E58" s="1207"/>
      <c r="F58" s="3"/>
      <c r="G58" s="3"/>
      <c r="H58" s="1216"/>
      <c r="J58" s="1097" t="s">
        <v>627</v>
      </c>
      <c r="K58" s="1091" t="b">
        <v>0</v>
      </c>
      <c r="R58" s="3"/>
      <c r="S58" s="3"/>
      <c r="T58" s="3"/>
      <c r="U58" s="3"/>
    </row>
    <row r="59" spans="2:21" hidden="1">
      <c r="J59" s="37"/>
      <c r="K59" s="37"/>
    </row>
  </sheetData>
  <sheetProtection algorithmName="SHA-512" hashValue="FCC0UXATvkia56dW7eDvvtVjeOi4JCloZqlvxjovGZSUi3Q8AO7Va+dH37ShOqUQONtozadc6uwUs9eiav3XfA==" saltValue="a4pF0Y3Rr1Vu0oMQBdpMdg==" spinCount="100000" sheet="1" objects="1" scenarios="1"/>
  <customSheetViews>
    <customSheetView guid="{82538F0F-5202-4835-8386-243FA62C9FC1}" scale="115" fitToPage="1" topLeftCell="A19">
      <selection activeCell="E7" sqref="E7"/>
      <rowBreaks count="1" manualBreakCount="1">
        <brk id="20" min="1" max="7" man="1"/>
      </rowBreaks>
      <pageMargins left="0.75" right="0.75" top="0.75" bottom="0.75" header="0.5" footer="0.5"/>
      <printOptions horizontalCentered="1" verticalCentered="1"/>
      <pageSetup scale="71" orientation="portrait" horizontalDpi="4294967292" verticalDpi="4294967292" r:id="rId1"/>
      <headerFooter alignWithMargins="0">
        <oddFooter>&amp;C&amp;"Arial,Bold"Page &amp;P</oddFooter>
      </headerFooter>
    </customSheetView>
  </customSheetViews>
  <mergeCells count="11">
    <mergeCell ref="G24:G34"/>
    <mergeCell ref="B3:G3"/>
    <mergeCell ref="E5:G5"/>
    <mergeCell ref="E6:G6"/>
    <mergeCell ref="G15:G22"/>
    <mergeCell ref="E9:G9"/>
    <mergeCell ref="E10:G10"/>
    <mergeCell ref="E7:G7"/>
    <mergeCell ref="E8:G8"/>
    <mergeCell ref="E11:G11"/>
    <mergeCell ref="E12:G12"/>
  </mergeCells>
  <phoneticPr fontId="0" type="noConversion"/>
  <dataValidations count="1">
    <dataValidation type="list" allowBlank="1" showInputMessage="1" showErrorMessage="1" sqref="E9">
      <formula1>IHS_Area</formula1>
    </dataValidation>
  </dataValidations>
  <printOptions horizontalCentered="1" verticalCentered="1"/>
  <pageMargins left="0.75" right="0.75" top="0.75" bottom="0.75" header="0.5" footer="0.5"/>
  <pageSetup scale="74" orientation="portrait" horizontalDpi="4294967292" verticalDpi="4294967292" r:id="rId2"/>
  <headerFooter alignWithMargins="0">
    <oddFooter>&amp;C&amp;"Arial,Bold"Page &amp;P</oddFooter>
  </headerFooter>
  <rowBreaks count="1" manualBreakCount="1">
    <brk id="20" min="1" max="6" man="1"/>
  </rowBreaks>
  <drawing r:id="rId3"/>
  <legacyDrawing r:id="rId4"/>
  <controls>
    <mc:AlternateContent xmlns:mc="http://schemas.openxmlformats.org/markup-compatibility/2006">
      <mc:Choice Requires="x14">
        <control shapeId="1173" r:id="rId5" name="CheckBox1">
          <controlPr autoLine="0" linkedCell="K45" r:id="rId6">
            <anchor moveWithCells="1">
              <from>
                <xdr:col>3</xdr:col>
                <xdr:colOff>47625</xdr:colOff>
                <xdr:row>40</xdr:row>
                <xdr:rowOff>209550</xdr:rowOff>
              </from>
              <to>
                <xdr:col>4</xdr:col>
                <xdr:colOff>295275</xdr:colOff>
                <xdr:row>42</xdr:row>
                <xdr:rowOff>57150</xdr:rowOff>
              </to>
            </anchor>
          </controlPr>
        </control>
      </mc:Choice>
      <mc:Fallback>
        <control shapeId="1173" r:id="rId5" name="CheckBox1"/>
      </mc:Fallback>
    </mc:AlternateContent>
    <mc:AlternateContent xmlns:mc="http://schemas.openxmlformats.org/markup-compatibility/2006">
      <mc:Choice Requires="x14">
        <control shapeId="1126" r:id="rId7" name="CheckBox7">
          <controlPr autoLine="0" altText="What?" linkedCell="K51" r:id="rId8">
            <anchor moveWithCells="1">
              <from>
                <xdr:col>6</xdr:col>
                <xdr:colOff>76200</xdr:colOff>
                <xdr:row>41</xdr:row>
                <xdr:rowOff>171450</xdr:rowOff>
              </from>
              <to>
                <xdr:col>6</xdr:col>
                <xdr:colOff>1905000</xdr:colOff>
                <xdr:row>43</xdr:row>
                <xdr:rowOff>19050</xdr:rowOff>
              </to>
            </anchor>
          </controlPr>
        </control>
      </mc:Choice>
      <mc:Fallback>
        <control shapeId="1126" r:id="rId7" name="CheckBox7"/>
      </mc:Fallback>
    </mc:AlternateContent>
    <mc:AlternateContent xmlns:mc="http://schemas.openxmlformats.org/markup-compatibility/2006">
      <mc:Choice Requires="x14">
        <control shapeId="1125" r:id="rId9" name="CheckBox6">
          <controlPr autoLine="0" altText="What?" linkedCell="K50" r:id="rId10">
            <anchor moveWithCells="1">
              <from>
                <xdr:col>4</xdr:col>
                <xdr:colOff>1095375</xdr:colOff>
                <xdr:row>41</xdr:row>
                <xdr:rowOff>161925</xdr:rowOff>
              </from>
              <to>
                <xdr:col>6</xdr:col>
                <xdr:colOff>123825</xdr:colOff>
                <xdr:row>43</xdr:row>
                <xdr:rowOff>9525</xdr:rowOff>
              </to>
            </anchor>
          </controlPr>
        </control>
      </mc:Choice>
      <mc:Fallback>
        <control shapeId="1125" r:id="rId9" name="CheckBox6"/>
      </mc:Fallback>
    </mc:AlternateContent>
    <mc:AlternateContent xmlns:mc="http://schemas.openxmlformats.org/markup-compatibility/2006">
      <mc:Choice Requires="x14">
        <control shapeId="1124" r:id="rId11" name="CheckBox5">
          <controlPr autoLine="0" altText="What?" linkedCell="K49" r:id="rId12">
            <anchor moveWithCells="1">
              <from>
                <xdr:col>6</xdr:col>
                <xdr:colOff>1219200</xdr:colOff>
                <xdr:row>40</xdr:row>
                <xdr:rowOff>209550</xdr:rowOff>
              </from>
              <to>
                <xdr:col>21</xdr:col>
                <xdr:colOff>266700</xdr:colOff>
                <xdr:row>42</xdr:row>
                <xdr:rowOff>57150</xdr:rowOff>
              </to>
            </anchor>
          </controlPr>
        </control>
      </mc:Choice>
      <mc:Fallback>
        <control shapeId="1124" r:id="rId11" name="CheckBox5"/>
      </mc:Fallback>
    </mc:AlternateContent>
    <mc:AlternateContent xmlns:mc="http://schemas.openxmlformats.org/markup-compatibility/2006">
      <mc:Choice Requires="x14">
        <control shapeId="1123" r:id="rId13" name="CheckBox4">
          <controlPr autoLine="0" altText="What?" linkedCell="K48" r:id="rId14">
            <anchor moveWithCells="1">
              <from>
                <xdr:col>3</xdr:col>
                <xdr:colOff>57150</xdr:colOff>
                <xdr:row>41</xdr:row>
                <xdr:rowOff>161925</xdr:rowOff>
              </from>
              <to>
                <xdr:col>5</xdr:col>
                <xdr:colOff>228600</xdr:colOff>
                <xdr:row>43</xdr:row>
                <xdr:rowOff>9525</xdr:rowOff>
              </to>
            </anchor>
          </controlPr>
        </control>
      </mc:Choice>
      <mc:Fallback>
        <control shapeId="1123" r:id="rId13" name="CheckBox4"/>
      </mc:Fallback>
    </mc:AlternateContent>
    <mc:AlternateContent xmlns:mc="http://schemas.openxmlformats.org/markup-compatibility/2006">
      <mc:Choice Requires="x14">
        <control shapeId="1122" r:id="rId15" name="CheckBox3">
          <controlPr autoLine="0" altText="What?" linkedCell="K47" r:id="rId16">
            <anchor moveWithCells="1">
              <from>
                <xdr:col>6</xdr:col>
                <xdr:colOff>66675</xdr:colOff>
                <xdr:row>40</xdr:row>
                <xdr:rowOff>209550</xdr:rowOff>
              </from>
              <to>
                <xdr:col>6</xdr:col>
                <xdr:colOff>1362075</xdr:colOff>
                <xdr:row>42</xdr:row>
                <xdr:rowOff>57150</xdr:rowOff>
              </to>
            </anchor>
          </controlPr>
        </control>
      </mc:Choice>
      <mc:Fallback>
        <control shapeId="1122" r:id="rId15" name="CheckBox3"/>
      </mc:Fallback>
    </mc:AlternateContent>
    <mc:AlternateContent xmlns:mc="http://schemas.openxmlformats.org/markup-compatibility/2006">
      <mc:Choice Requires="x14">
        <control shapeId="1120" r:id="rId17" name="CheckBox2">
          <controlPr autoLine="0" altText="What?" linkedCell="K46" r:id="rId18">
            <anchor moveWithCells="1">
              <from>
                <xdr:col>4</xdr:col>
                <xdr:colOff>381000</xdr:colOff>
                <xdr:row>40</xdr:row>
                <xdr:rowOff>209550</xdr:rowOff>
              </from>
              <to>
                <xdr:col>6</xdr:col>
                <xdr:colOff>133350</xdr:colOff>
                <xdr:row>42</xdr:row>
                <xdr:rowOff>57150</xdr:rowOff>
              </to>
            </anchor>
          </controlPr>
        </control>
      </mc:Choice>
      <mc:Fallback>
        <control shapeId="1120" r:id="rId17" name="CheckBox2"/>
      </mc:Fallback>
    </mc:AlternateContent>
    <mc:AlternateContent xmlns:mc="http://schemas.openxmlformats.org/markup-compatibility/2006">
      <mc:Choice Requires="x14">
        <control shapeId="1189" r:id="rId19" name="CheckBox31a">
          <controlPr autoLine="0" linkedCell="K55" r:id="rId20">
            <anchor moveWithCells="1">
              <from>
                <xdr:col>3</xdr:col>
                <xdr:colOff>57150</xdr:colOff>
                <xdr:row>42</xdr:row>
                <xdr:rowOff>209550</xdr:rowOff>
              </from>
              <to>
                <xdr:col>5</xdr:col>
                <xdr:colOff>28575</xdr:colOff>
                <xdr:row>44</xdr:row>
                <xdr:rowOff>57150</xdr:rowOff>
              </to>
            </anchor>
          </controlPr>
        </control>
      </mc:Choice>
      <mc:Fallback>
        <control shapeId="1189" r:id="rId19" name="CheckBox31a"/>
      </mc:Fallback>
    </mc:AlternateContent>
    <mc:AlternateContent xmlns:mc="http://schemas.openxmlformats.org/markup-compatibility/2006">
      <mc:Choice Requires="x14">
        <control shapeId="1190" r:id="rId21" name="CheckBox31b">
          <controlPr autoLine="0" linkedCell="K56" r:id="rId22">
            <anchor moveWithCells="1">
              <from>
                <xdr:col>4</xdr:col>
                <xdr:colOff>866775</xdr:colOff>
                <xdr:row>42</xdr:row>
                <xdr:rowOff>219075</xdr:rowOff>
              </from>
              <to>
                <xdr:col>5</xdr:col>
                <xdr:colOff>1133475</xdr:colOff>
                <xdr:row>44</xdr:row>
                <xdr:rowOff>66675</xdr:rowOff>
              </to>
            </anchor>
          </controlPr>
        </control>
      </mc:Choice>
      <mc:Fallback>
        <control shapeId="1190" r:id="rId21" name="CheckBox31b"/>
      </mc:Fallback>
    </mc:AlternateContent>
    <mc:AlternateContent xmlns:mc="http://schemas.openxmlformats.org/markup-compatibility/2006">
      <mc:Choice Requires="x14">
        <control shapeId="1191" r:id="rId23" name="CheckBox31c">
          <controlPr autoLine="0" linkedCell="K57" r:id="rId24">
            <anchor moveWithCells="1">
              <from>
                <xdr:col>3</xdr:col>
                <xdr:colOff>57150</xdr:colOff>
                <xdr:row>43</xdr:row>
                <xdr:rowOff>190500</xdr:rowOff>
              </from>
              <to>
                <xdr:col>5</xdr:col>
                <xdr:colOff>28575</xdr:colOff>
                <xdr:row>45</xdr:row>
                <xdr:rowOff>38100</xdr:rowOff>
              </to>
            </anchor>
          </controlPr>
        </control>
      </mc:Choice>
      <mc:Fallback>
        <control shapeId="1191" r:id="rId23" name="CheckBox31c"/>
      </mc:Fallback>
    </mc:AlternateContent>
    <mc:AlternateContent xmlns:mc="http://schemas.openxmlformats.org/markup-compatibility/2006">
      <mc:Choice Requires="x14">
        <control shapeId="1193" r:id="rId25" name="CheckBox31d">
          <controlPr autoLine="0" linkedCell="K58" r:id="rId26">
            <anchor moveWithCells="1">
              <from>
                <xdr:col>4</xdr:col>
                <xdr:colOff>819150</xdr:colOff>
                <xdr:row>43</xdr:row>
                <xdr:rowOff>190500</xdr:rowOff>
              </from>
              <to>
                <xdr:col>5</xdr:col>
                <xdr:colOff>1047750</xdr:colOff>
                <xdr:row>45</xdr:row>
                <xdr:rowOff>38100</xdr:rowOff>
              </to>
            </anchor>
          </controlPr>
        </control>
      </mc:Choice>
      <mc:Fallback>
        <control shapeId="1193" r:id="rId25" name="CheckBox31d"/>
      </mc:Fallback>
    </mc:AlternateContent>
    <mc:AlternateContent xmlns:mc="http://schemas.openxmlformats.org/markup-compatibility/2006">
      <mc:Choice Requires="x14">
        <control shapeId="1196" r:id="rId27" name="ComboBox1">
          <controlPr defaultSize="0" autoLine="0" linkedCell="$E$36" listFillRange="$R$30:$S$31" r:id="rId28">
            <anchor moveWithCells="1">
              <from>
                <xdr:col>4</xdr:col>
                <xdr:colOff>0</xdr:colOff>
                <xdr:row>35</xdr:row>
                <xdr:rowOff>0</xdr:rowOff>
              </from>
              <to>
                <xdr:col>5</xdr:col>
                <xdr:colOff>0</xdr:colOff>
                <xdr:row>36</xdr:row>
                <xdr:rowOff>0</xdr:rowOff>
              </to>
            </anchor>
          </controlPr>
        </control>
      </mc:Choice>
      <mc:Fallback>
        <control shapeId="1196" r:id="rId27" name="ComboBox1"/>
      </mc:Fallback>
    </mc:AlternateContent>
    <mc:AlternateContent xmlns:mc="http://schemas.openxmlformats.org/markup-compatibility/2006">
      <mc:Choice Requires="x14">
        <control shapeId="1198" r:id="rId29" name="ComboBox2">
          <controlPr defaultSize="0" autoLine="0" linkedCell="$E$40" listFillRange="$R$30:$S$31" r:id="rId30">
            <anchor moveWithCells="1">
              <from>
                <xdr:col>4</xdr:col>
                <xdr:colOff>0</xdr:colOff>
                <xdr:row>39</xdr:row>
                <xdr:rowOff>0</xdr:rowOff>
              </from>
              <to>
                <xdr:col>5</xdr:col>
                <xdr:colOff>9525</xdr:colOff>
                <xdr:row>40</xdr:row>
                <xdr:rowOff>0</xdr:rowOff>
              </to>
            </anchor>
          </controlPr>
        </control>
      </mc:Choice>
      <mc:Fallback>
        <control shapeId="1198" r:id="rId29" name="ComboBox2"/>
      </mc:Fallback>
    </mc:AlternateContent>
    <mc:AlternateContent xmlns:mc="http://schemas.openxmlformats.org/markup-compatibility/2006">
      <mc:Choice Requires="x14">
        <control shapeId="1199" r:id="rId31" name="ComboBox3">
          <controlPr defaultSize="0" autoLine="0" linkedCell="$E$41" listFillRange="$R$30:$S$31" r:id="rId32">
            <anchor moveWithCells="1">
              <from>
                <xdr:col>4</xdr:col>
                <xdr:colOff>0</xdr:colOff>
                <xdr:row>40</xdr:row>
                <xdr:rowOff>0</xdr:rowOff>
              </from>
              <to>
                <xdr:col>5</xdr:col>
                <xdr:colOff>9525</xdr:colOff>
                <xdr:row>41</xdr:row>
                <xdr:rowOff>0</xdr:rowOff>
              </to>
            </anchor>
          </controlPr>
        </control>
      </mc:Choice>
      <mc:Fallback>
        <control shapeId="1199" r:id="rId31" name="ComboBox3"/>
      </mc:Fallback>
    </mc:AlternateContent>
    <mc:AlternateContent xmlns:mc="http://schemas.openxmlformats.org/markup-compatibility/2006">
      <mc:Choice Requires="x14">
        <control shapeId="1202" r:id="rId33" name="ComboBox6">
          <controlPr defaultSize="0" autoLine="0" linkedCell="$E$46" listFillRange="$R$40:$S$54" r:id="rId34">
            <anchor moveWithCells="1">
              <from>
                <xdr:col>4</xdr:col>
                <xdr:colOff>0</xdr:colOff>
                <xdr:row>45</xdr:row>
                <xdr:rowOff>0</xdr:rowOff>
              </from>
              <to>
                <xdr:col>5</xdr:col>
                <xdr:colOff>9525</xdr:colOff>
                <xdr:row>46</xdr:row>
                <xdr:rowOff>0</xdr:rowOff>
              </to>
            </anchor>
          </controlPr>
        </control>
      </mc:Choice>
      <mc:Fallback>
        <control shapeId="1202" r:id="rId33" name="ComboBox6"/>
      </mc:Fallback>
    </mc:AlternateContent>
    <mc:AlternateContent xmlns:mc="http://schemas.openxmlformats.org/markup-compatibility/2006">
      <mc:Choice Requires="x14">
        <control shapeId="1203" r:id="rId35" name="ComboBox7">
          <controlPr defaultSize="0" autoLine="0" linkedCell="$E$13" listFillRange="$T$2:$U$6" r:id="rId36">
            <anchor moveWithCells="1">
              <from>
                <xdr:col>3</xdr:col>
                <xdr:colOff>0</xdr:colOff>
                <xdr:row>12</xdr:row>
                <xdr:rowOff>9525</xdr:rowOff>
              </from>
              <to>
                <xdr:col>6</xdr:col>
                <xdr:colOff>95250</xdr:colOff>
                <xdr:row>13</xdr:row>
                <xdr:rowOff>0</xdr:rowOff>
              </to>
            </anchor>
          </controlPr>
        </control>
      </mc:Choice>
      <mc:Fallback>
        <control shapeId="1203" r:id="rId35" name="ComboBox7"/>
      </mc:Fallback>
    </mc:AlternateContent>
    <mc:AlternateContent xmlns:mc="http://schemas.openxmlformats.org/markup-compatibility/2006">
      <mc:Choice Requires="x14">
        <control shapeId="1205" r:id="rId37" name="ComboBox8">
          <controlPr defaultSize="0" autoLine="0" linkedCell="$E$14" listFillRange="'Pay Scales'!$P$15:$P$40" r:id="rId38">
            <anchor moveWithCells="1">
              <from>
                <xdr:col>4</xdr:col>
                <xdr:colOff>9525</xdr:colOff>
                <xdr:row>13</xdr:row>
                <xdr:rowOff>0</xdr:rowOff>
              </from>
              <to>
                <xdr:col>5</xdr:col>
                <xdr:colOff>9525</xdr:colOff>
                <xdr:row>14</xdr:row>
                <xdr:rowOff>0</xdr:rowOff>
              </to>
            </anchor>
          </controlPr>
        </control>
      </mc:Choice>
      <mc:Fallback>
        <control shapeId="1205" r:id="rId37" name="ComboBox8"/>
      </mc:Fallback>
    </mc:AlternateContent>
    <mc:AlternateContent xmlns:mc="http://schemas.openxmlformats.org/markup-compatibility/2006">
      <mc:Choice Requires="x14">
        <control shapeId="1206" r:id="rId39" name="ERDistComboBox">
          <controlPr defaultSize="0" autoLine="0" autoPict="0" linkedCell="$E$39" listFillRange="$R$33:$S$35" r:id="rId40">
            <anchor moveWithCells="1">
              <from>
                <xdr:col>4</xdr:col>
                <xdr:colOff>0</xdr:colOff>
                <xdr:row>38</xdr:row>
                <xdr:rowOff>9525</xdr:rowOff>
              </from>
              <to>
                <xdr:col>5</xdr:col>
                <xdr:colOff>0</xdr:colOff>
                <xdr:row>39</xdr:row>
                <xdr:rowOff>9525</xdr:rowOff>
              </to>
            </anchor>
          </controlPr>
        </control>
      </mc:Choice>
      <mc:Fallback>
        <control shapeId="1206" r:id="rId39" name="ERDistComboBox"/>
      </mc:Fallback>
    </mc:AlternateContent>
    <mc:AlternateContent xmlns:mc="http://schemas.openxmlformats.org/markup-compatibility/2006">
      <mc:Choice Requires="x14">
        <control shapeId="1213" r:id="rId41" name="ComboBox4">
          <controlPr defaultSize="0" autoLine="0" linkedCell="$E$15" listFillRange="$R$10:$S$11" r:id="rId42">
            <anchor moveWithCells="1">
              <from>
                <xdr:col>4</xdr:col>
                <xdr:colOff>9525</xdr:colOff>
                <xdr:row>14</xdr:row>
                <xdr:rowOff>9525</xdr:rowOff>
              </from>
              <to>
                <xdr:col>5</xdr:col>
                <xdr:colOff>9525</xdr:colOff>
                <xdr:row>15</xdr:row>
                <xdr:rowOff>9525</xdr:rowOff>
              </to>
            </anchor>
          </controlPr>
        </control>
      </mc:Choice>
      <mc:Fallback>
        <control shapeId="1213" r:id="rId41" name="ComboBox4"/>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autoPageBreaks="0" fitToPage="1"/>
  </sheetPr>
  <dimension ref="A1:IU846"/>
  <sheetViews>
    <sheetView topLeftCell="A48" zoomScaleNormal="100" workbookViewId="0">
      <selection activeCell="C15" sqref="C15"/>
    </sheetView>
  </sheetViews>
  <sheetFormatPr defaultColWidth="0" defaultRowHeight="15.75" zeroHeight="1"/>
  <cols>
    <col min="1" max="1" width="5.125" customWidth="1" collapsed="1"/>
    <col min="2" max="2" width="4.25" style="914" customWidth="1" collapsed="1"/>
    <col min="3" max="3" width="53" customWidth="1" collapsed="1"/>
    <col min="4" max="4" width="20.875" style="1161" customWidth="1" collapsed="1"/>
    <col min="5" max="5" width="16.625" style="107" customWidth="1" collapsed="1"/>
    <col min="6" max="6" width="13" style="107" customWidth="1" collapsed="1"/>
    <col min="7" max="7" width="4.25" style="41" hidden="1" customWidth="1" collapsed="1"/>
    <col min="8" max="8" width="13.375" style="41" hidden="1" customWidth="1" collapsed="1"/>
    <col min="9" max="9" width="14.25" style="41" hidden="1" customWidth="1" collapsed="1"/>
    <col min="10" max="12" width="13.375" style="41" hidden="1" customWidth="1" collapsed="1"/>
    <col min="13" max="13" width="12.125" style="41" hidden="1" customWidth="1" collapsed="1"/>
    <col min="14" max="24" width="13.375" style="41" hidden="1" customWidth="1" collapsed="1"/>
    <col min="25" max="26" width="23.625" style="41" hidden="1" customWidth="1" collapsed="1"/>
    <col min="27" max="27" width="21.25" style="41" customWidth="1" collapsed="1"/>
    <col min="28" max="32" width="13.375" style="41" hidden="1" customWidth="1" collapsed="1"/>
    <col min="33" max="49" width="11.25" style="41" hidden="1" customWidth="1" collapsed="1"/>
    <col min="50" max="50" width="14.625" style="41" hidden="1" customWidth="1" collapsed="1"/>
    <col min="51" max="252" width="11.25" style="41" hidden="1" customWidth="1" collapsed="1"/>
    <col min="253" max="253" width="8.875" style="41" hidden="1" customWidth="1" collapsed="1"/>
    <col min="254" max="255" width="11.25" style="41" hidden="1" customWidth="1" collapsed="1"/>
    <col min="256" max="16384" width="4.5" style="41" hidden="1" collapsed="1"/>
  </cols>
  <sheetData>
    <row r="1" spans="1:24" ht="18" customHeight="1">
      <c r="A1" s="23"/>
      <c r="B1" s="903"/>
      <c r="C1" s="23"/>
      <c r="D1" s="40"/>
      <c r="E1" s="1165" t="str">
        <f>'Facility Info'!$F$1</f>
        <v>Last Update:</v>
      </c>
      <c r="F1" s="580">
        <f>'Facility Info'!$G$1</f>
        <v>43902</v>
      </c>
      <c r="N1" s="611"/>
      <c r="O1" s="612"/>
      <c r="P1" s="613" t="s">
        <v>90</v>
      </c>
      <c r="R1" s="614"/>
      <c r="U1" s="611"/>
      <c r="V1" s="615"/>
      <c r="W1" s="616" t="s">
        <v>91</v>
      </c>
    </row>
    <row r="2" spans="1:24" ht="18" customHeight="1" thickBot="1">
      <c r="A2" s="23"/>
      <c r="B2" s="1914" t="s">
        <v>92</v>
      </c>
      <c r="C2" s="1914"/>
      <c r="D2" s="1914"/>
      <c r="E2" s="1165" t="str">
        <f>'Facility Info'!$F$2</f>
        <v>Today's Date:</v>
      </c>
      <c r="F2" s="1079">
        <f ca="1">'Facility Info'!$G$2</f>
        <v>43944.347985416665</v>
      </c>
      <c r="N2" s="611"/>
      <c r="O2" s="617"/>
      <c r="P2" s="618"/>
      <c r="Q2" s="619"/>
      <c r="R2" s="620"/>
      <c r="U2" s="611"/>
      <c r="V2" s="621" t="s">
        <v>93</v>
      </c>
      <c r="W2" s="622">
        <f>IF(OR(FAC_INFO_FAC_TYPE=4,FAC_INFO_FAC_TYPE=3),P9*P14,P9/0.8)</f>
        <v>0</v>
      </c>
    </row>
    <row r="3" spans="1:24" ht="18" customHeight="1" thickBot="1">
      <c r="A3" s="23"/>
      <c r="B3" s="903"/>
      <c r="C3" s="23"/>
      <c r="D3" s="1146" t="s">
        <v>94</v>
      </c>
      <c r="E3" s="111">
        <f ca="1">ROUND(FTE_FTE_Calc,0)</f>
        <v>0</v>
      </c>
      <c r="N3" s="611"/>
      <c r="O3" s="623" t="s">
        <v>95</v>
      </c>
      <c r="P3" s="624">
        <f>IF(Q3&gt;0,Q3,Q2)</f>
        <v>0</v>
      </c>
      <c r="Q3" s="624">
        <f>'Facility Info'!E56</f>
        <v>0</v>
      </c>
      <c r="R3" s="625" t="s">
        <v>96</v>
      </c>
      <c r="U3" s="611"/>
      <c r="V3" s="621" t="s">
        <v>599</v>
      </c>
      <c r="W3" s="622">
        <f>IF(OR(FAC_INFO_FAC_TYPE=2,FAC_INFO_FAC_TYPE=6,FAC_INFO_FAC_TYPE=5),P9*P15,P10/0.8)</f>
        <v>0</v>
      </c>
    </row>
    <row r="4" spans="1:24" ht="18" customHeight="1">
      <c r="A4" s="112"/>
      <c r="B4" s="1905" t="str">
        <f>'Facility Info'!$E$5</f>
        <v>Proposed Project</v>
      </c>
      <c r="C4" s="1906"/>
      <c r="D4" s="1906"/>
      <c r="E4" s="1906"/>
      <c r="F4" s="1907"/>
      <c r="N4" s="611"/>
      <c r="O4" s="626" t="s">
        <v>97</v>
      </c>
      <c r="P4" s="627">
        <f>IF(Q2&gt;Q3,Q2,Q3)</f>
        <v>0</v>
      </c>
      <c r="Q4" s="628"/>
      <c r="R4" s="629"/>
      <c r="U4" s="611"/>
      <c r="V4" s="621" t="s">
        <v>98</v>
      </c>
      <c r="W4" s="622">
        <f>P9/0.8</f>
        <v>0</v>
      </c>
    </row>
    <row r="5" spans="1:24" ht="18" customHeight="1">
      <c r="A5" s="23"/>
      <c r="B5" s="1908"/>
      <c r="C5" s="1909"/>
      <c r="D5" s="1909"/>
      <c r="E5" s="1909"/>
      <c r="F5" s="1910"/>
      <c r="N5" s="611"/>
      <c r="P5" s="630"/>
      <c r="R5" s="614"/>
      <c r="U5" s="611"/>
      <c r="V5" s="621"/>
      <c r="W5" s="622"/>
    </row>
    <row r="6" spans="1:24" s="124" customFormat="1" ht="18" customHeight="1" thickBot="1">
      <c r="A6" s="120"/>
      <c r="B6" s="1911"/>
      <c r="C6" s="1912"/>
      <c r="D6" s="1912"/>
      <c r="E6" s="1912"/>
      <c r="F6" s="1913"/>
      <c r="M6" s="41"/>
      <c r="N6" s="611"/>
      <c r="O6" s="631" t="s">
        <v>349</v>
      </c>
      <c r="P6" s="632">
        <f>IF('Facility Info'!J17&gt;0,Q6,0)</f>
        <v>0</v>
      </c>
      <c r="Q6" s="633">
        <f>IF('Facility Info'!J19&lt;465,465,'Facility Info'!J19)</f>
        <v>465</v>
      </c>
      <c r="R6" s="634" t="s">
        <v>99</v>
      </c>
      <c r="U6" s="611"/>
      <c r="V6" s="621"/>
      <c r="W6" s="635"/>
      <c r="X6" s="41"/>
    </row>
    <row r="7" spans="1:24" s="60" customFormat="1" ht="18" customHeight="1">
      <c r="A7" s="125"/>
      <c r="B7" s="904"/>
      <c r="C7" s="126" t="s">
        <v>100</v>
      </c>
      <c r="D7" s="127" t="s">
        <v>53</v>
      </c>
      <c r="E7" s="128"/>
      <c r="F7" s="129"/>
      <c r="M7" s="41"/>
      <c r="N7" s="611"/>
      <c r="O7" s="636" t="s">
        <v>350</v>
      </c>
      <c r="P7" s="637">
        <f>Q6-'Facility Info'!J18</f>
        <v>465</v>
      </c>
      <c r="Q7" s="638">
        <f>'Facility Info'!J18</f>
        <v>0</v>
      </c>
      <c r="R7" s="639" t="s">
        <v>101</v>
      </c>
    </row>
    <row r="8" spans="1:24" s="60" customFormat="1" ht="18" customHeight="1">
      <c r="A8" s="125"/>
      <c r="B8" s="905"/>
      <c r="C8" s="130"/>
      <c r="D8" s="131" t="s">
        <v>102</v>
      </c>
      <c r="E8" s="132" t="s">
        <v>54</v>
      </c>
      <c r="F8" s="133"/>
      <c r="M8" s="41"/>
      <c r="N8" s="611"/>
      <c r="O8" s="640"/>
      <c r="P8" s="41"/>
      <c r="Q8" s="630"/>
      <c r="R8" s="124"/>
    </row>
    <row r="9" spans="1:24" s="60" customFormat="1" ht="18" customHeight="1">
      <c r="A9" s="125"/>
      <c r="B9" s="905">
        <v>1</v>
      </c>
      <c r="C9" s="134" t="s">
        <v>103</v>
      </c>
      <c r="D9" s="1077"/>
      <c r="E9" s="1167">
        <v>1</v>
      </c>
      <c r="F9" s="1915" t="str">
        <f>IF(ISNUMBER(D9),IF(D9*E9&lt;6450,"PCPV
less than
6450",""),"")</f>
        <v/>
      </c>
      <c r="M9" s="41"/>
      <c r="N9" s="611"/>
      <c r="O9" s="641" t="s">
        <v>104</v>
      </c>
      <c r="P9" s="642">
        <f>D9*E9</f>
        <v>0</v>
      </c>
      <c r="Q9" s="41"/>
      <c r="R9" s="614"/>
    </row>
    <row r="10" spans="1:24" s="60" customFormat="1" ht="18" customHeight="1">
      <c r="A10" s="125"/>
      <c r="B10" s="905" t="s">
        <v>105</v>
      </c>
      <c r="C10" s="134" t="s">
        <v>522</v>
      </c>
      <c r="D10" s="1142"/>
      <c r="E10" s="1168"/>
      <c r="F10" s="1916"/>
      <c r="M10" s="41"/>
      <c r="N10" s="611"/>
      <c r="O10" s="643" t="s">
        <v>106</v>
      </c>
      <c r="P10" s="644">
        <f>IF(OR(FAC_INFO_FAC_TYPE=2,FAC_INFO_FAC_TYPE=5,FAC_INFO_FAC_TYPE=6),'Outpatient Workload'!W3,IF(OR(FAC_INFO_FAC_TYPE=4,FAC_INFO_FAC_TYPE=3),'Outpatient Workload'!W2,'Outpatient Workload'!P9/0.8))</f>
        <v>0</v>
      </c>
      <c r="Q10" s="41"/>
      <c r="R10" s="630"/>
    </row>
    <row r="11" spans="1:24" s="60" customFormat="1" ht="18" customHeight="1">
      <c r="A11" s="125"/>
      <c r="B11" s="1373" t="s">
        <v>475</v>
      </c>
      <c r="C11" s="1374" t="s">
        <v>823</v>
      </c>
      <c r="D11" s="1142"/>
      <c r="E11" s="1168"/>
      <c r="F11" s="1916"/>
      <c r="M11" s="41"/>
      <c r="N11" s="611"/>
      <c r="O11" s="643"/>
      <c r="P11" s="644"/>
      <c r="Q11" s="41"/>
      <c r="R11" s="630"/>
    </row>
    <row r="12" spans="1:24" s="60" customFormat="1" ht="18" customHeight="1">
      <c r="A12" s="125"/>
      <c r="B12" s="1373" t="s">
        <v>477</v>
      </c>
      <c r="C12" s="1374" t="s">
        <v>824</v>
      </c>
      <c r="D12" s="1142"/>
      <c r="E12" s="1168"/>
      <c r="F12" s="1916"/>
      <c r="M12" s="41"/>
      <c r="N12" s="611"/>
      <c r="O12" s="643"/>
      <c r="P12" s="644"/>
      <c r="Q12" s="41"/>
      <c r="R12" s="630"/>
    </row>
    <row r="13" spans="1:24" s="60" customFormat="1" ht="18" customHeight="1">
      <c r="A13" s="125"/>
      <c r="B13" s="1257" t="s">
        <v>738</v>
      </c>
      <c r="C13" s="134" t="s">
        <v>476</v>
      </c>
      <c r="D13" s="1142"/>
      <c r="E13" s="1168"/>
      <c r="F13" s="1916"/>
      <c r="M13" s="41"/>
      <c r="N13" s="611"/>
      <c r="O13" s="643"/>
      <c r="P13" s="644"/>
      <c r="Q13" s="41"/>
      <c r="R13" s="630"/>
    </row>
    <row r="14" spans="1:24" s="60" customFormat="1" ht="18" customHeight="1">
      <c r="A14" s="125"/>
      <c r="B14" s="1257" t="s">
        <v>825</v>
      </c>
      <c r="C14" s="134" t="s">
        <v>107</v>
      </c>
      <c r="D14" s="1142"/>
      <c r="E14" s="1169"/>
      <c r="F14" s="1916"/>
      <c r="M14" s="41"/>
      <c r="N14" s="611"/>
      <c r="O14" s="621" t="s">
        <v>108</v>
      </c>
      <c r="P14" s="645">
        <v>1.5009999999999999</v>
      </c>
      <c r="Q14" s="41" t="s">
        <v>109</v>
      </c>
      <c r="R14" s="630"/>
    </row>
    <row r="15" spans="1:24" s="60" customFormat="1" ht="18" customHeight="1" thickBot="1">
      <c r="A15" s="125"/>
      <c r="B15" s="1112" t="s">
        <v>826</v>
      </c>
      <c r="C15" s="1113" t="s">
        <v>739</v>
      </c>
      <c r="D15" s="1143"/>
      <c r="E15" s="1170"/>
      <c r="F15" s="1917"/>
      <c r="M15" s="41"/>
      <c r="N15" s="611"/>
      <c r="O15" s="621" t="s">
        <v>112</v>
      </c>
      <c r="P15" s="646">
        <v>1.9970000000000001</v>
      </c>
      <c r="Q15" s="41" t="s">
        <v>113</v>
      </c>
      <c r="R15" s="630"/>
    </row>
    <row r="16" spans="1:24" s="60" customFormat="1" ht="18" customHeight="1" thickBot="1">
      <c r="A16" s="125"/>
      <c r="B16" s="906"/>
      <c r="C16" s="135"/>
      <c r="D16" s="136" t="s">
        <v>110</v>
      </c>
      <c r="E16" s="137" t="s">
        <v>111</v>
      </c>
      <c r="F16" s="139"/>
      <c r="M16" s="41"/>
      <c r="R16" s="630"/>
    </row>
    <row r="17" spans="1:18" ht="18" customHeight="1" thickBot="1">
      <c r="A17" s="140"/>
      <c r="B17" s="907" t="s">
        <v>7</v>
      </c>
      <c r="C17" s="138" t="s">
        <v>114</v>
      </c>
      <c r="D17" s="1147"/>
      <c r="E17" s="1184">
        <f>IF(D17&lt;&gt;"",D17,P10)</f>
        <v>0</v>
      </c>
      <c r="F17" s="144"/>
      <c r="R17" s="630"/>
    </row>
    <row r="18" spans="1:18" ht="18" customHeight="1" thickBot="1">
      <c r="A18" s="140"/>
      <c r="B18" s="910"/>
      <c r="C18" s="146"/>
      <c r="D18" s="1148"/>
      <c r="E18" s="1171"/>
      <c r="F18" s="139"/>
      <c r="R18" s="630"/>
    </row>
    <row r="19" spans="1:18" ht="18" customHeight="1" thickBot="1">
      <c r="A19" s="140"/>
      <c r="B19" s="906"/>
      <c r="C19" s="141" t="s">
        <v>222</v>
      </c>
      <c r="D19" s="1122" t="s">
        <v>745</v>
      </c>
      <c r="E19" s="137" t="s">
        <v>111</v>
      </c>
      <c r="F19" s="139"/>
      <c r="R19" s="630"/>
    </row>
    <row r="20" spans="1:18" ht="18" customHeight="1">
      <c r="A20" s="140"/>
      <c r="B20" s="905">
        <v>3</v>
      </c>
      <c r="C20" s="1212" t="s">
        <v>741</v>
      </c>
      <c r="D20" s="1144"/>
      <c r="E20" s="1172">
        <f>IF(D20&lt;&gt;"",D20,PCPV*9/365)</f>
        <v>0</v>
      </c>
      <c r="F20" s="1918"/>
      <c r="R20" s="630"/>
    </row>
    <row r="21" spans="1:18" ht="18" customHeight="1">
      <c r="A21" s="140"/>
      <c r="B21" s="905" t="str">
        <f>B20 &amp; "a."</f>
        <v>3a.</v>
      </c>
      <c r="C21" s="1129" t="s">
        <v>758</v>
      </c>
      <c r="D21" s="1145">
        <v>0</v>
      </c>
      <c r="E21" s="1168"/>
      <c r="F21" s="1919"/>
      <c r="R21" s="630"/>
    </row>
    <row r="22" spans="1:18" ht="18" customHeight="1">
      <c r="A22" s="140"/>
      <c r="B22" s="905" t="str">
        <f>B20 &amp; "b."</f>
        <v>3b.</v>
      </c>
      <c r="C22" s="1129" t="s">
        <v>742</v>
      </c>
      <c r="D22" s="1142">
        <v>0</v>
      </c>
      <c r="E22" s="1168"/>
      <c r="F22" s="1919"/>
      <c r="R22" s="630"/>
    </row>
    <row r="23" spans="1:18" ht="18" customHeight="1">
      <c r="A23" s="140"/>
      <c r="B23" s="905" t="str">
        <f>B20 &amp; "c."</f>
        <v>3c.</v>
      </c>
      <c r="C23" s="1129" t="s">
        <v>769</v>
      </c>
      <c r="D23" s="1142">
        <v>0</v>
      </c>
      <c r="E23" s="1168"/>
      <c r="F23" s="1919"/>
      <c r="R23" s="630"/>
    </row>
    <row r="24" spans="1:18" ht="18" customHeight="1" thickBot="1">
      <c r="A24" s="140"/>
      <c r="B24" s="1112" t="str">
        <f>B20 &amp; "d."</f>
        <v>3d.</v>
      </c>
      <c r="C24" s="1129" t="s">
        <v>743</v>
      </c>
      <c r="D24" s="1149">
        <v>0</v>
      </c>
      <c r="E24" s="1169"/>
      <c r="F24" s="1919"/>
      <c r="I24" s="1123" t="s">
        <v>491</v>
      </c>
      <c r="R24" s="630"/>
    </row>
    <row r="25" spans="1:18" ht="18" customHeight="1" thickBot="1">
      <c r="A25" s="140"/>
      <c r="B25" s="1112" t="str">
        <f>B20 &amp; "e."</f>
        <v>3e.</v>
      </c>
      <c r="C25" s="1113" t="s">
        <v>744</v>
      </c>
      <c r="D25" s="1150">
        <v>0</v>
      </c>
      <c r="E25" s="1170"/>
      <c r="F25" s="1920"/>
      <c r="H25" s="630">
        <f>D24</f>
        <v>0</v>
      </c>
      <c r="I25" s="1123" t="s">
        <v>40</v>
      </c>
      <c r="J25" s="1124">
        <v>0</v>
      </c>
      <c r="R25" s="630"/>
    </row>
    <row r="26" spans="1:18" ht="18" customHeight="1" thickBot="1">
      <c r="A26" s="140"/>
      <c r="B26" s="910"/>
      <c r="C26" s="146"/>
      <c r="D26" s="1148"/>
      <c r="E26" s="1171"/>
      <c r="F26" s="139"/>
      <c r="H26" s="630">
        <f>D25</f>
        <v>0</v>
      </c>
      <c r="I26" s="1123" t="s">
        <v>39</v>
      </c>
      <c r="J26" s="1124">
        <v>1</v>
      </c>
      <c r="R26" s="630"/>
    </row>
    <row r="27" spans="1:18" ht="18" customHeight="1">
      <c r="A27" s="140"/>
      <c r="B27" s="908"/>
      <c r="C27" s="141" t="s">
        <v>282</v>
      </c>
      <c r="D27" s="142"/>
      <c r="E27" s="1168"/>
      <c r="F27" s="1140"/>
      <c r="H27" s="630"/>
      <c r="I27" s="1255"/>
      <c r="J27" s="608"/>
      <c r="R27" s="630"/>
    </row>
    <row r="28" spans="1:18" ht="18" customHeight="1">
      <c r="A28" s="140"/>
      <c r="B28" s="909">
        <v>4</v>
      </c>
      <c r="C28" s="1213" t="s">
        <v>815</v>
      </c>
      <c r="D28" s="1151">
        <v>1</v>
      </c>
      <c r="E28" s="1168"/>
      <c r="F28" s="145"/>
      <c r="H28" s="630"/>
      <c r="I28" s="1066" t="s">
        <v>777</v>
      </c>
      <c r="J28" s="608">
        <v>1</v>
      </c>
      <c r="R28" s="630"/>
    </row>
    <row r="29" spans="1:18" ht="18" customHeight="1">
      <c r="A29" s="140"/>
      <c r="B29" s="910"/>
      <c r="C29" s="146"/>
      <c r="D29" s="1148"/>
      <c r="E29" s="1171"/>
      <c r="F29" s="147"/>
      <c r="H29" s="630"/>
      <c r="I29" s="1256" t="s">
        <v>813</v>
      </c>
      <c r="J29" s="608">
        <v>2</v>
      </c>
      <c r="R29" s="630"/>
    </row>
    <row r="30" spans="1:18" ht="18" customHeight="1">
      <c r="A30" s="140"/>
      <c r="B30" s="908"/>
      <c r="C30" s="141" t="s">
        <v>115</v>
      </c>
      <c r="D30" s="142" t="s">
        <v>116</v>
      </c>
      <c r="E30" s="143" t="s">
        <v>54</v>
      </c>
      <c r="F30" s="1140"/>
      <c r="I30" s="1256" t="s">
        <v>814</v>
      </c>
      <c r="J30" s="41">
        <v>3</v>
      </c>
      <c r="R30" s="630"/>
    </row>
    <row r="31" spans="1:18" ht="18" customHeight="1">
      <c r="A31" s="140"/>
      <c r="B31" s="909">
        <f>B28+1</f>
        <v>5</v>
      </c>
      <c r="C31" s="1213" t="s">
        <v>118</v>
      </c>
      <c r="D31" s="1151">
        <v>0</v>
      </c>
      <c r="E31" s="1173">
        <v>1</v>
      </c>
      <c r="F31" s="145"/>
      <c r="R31" s="630"/>
    </row>
    <row r="32" spans="1:18" ht="18" customHeight="1" thickBot="1">
      <c r="A32" s="140"/>
      <c r="B32" s="910"/>
      <c r="C32" s="146"/>
      <c r="D32" s="1148"/>
      <c r="E32" s="1171"/>
      <c r="F32" s="147"/>
      <c r="N32" s="611"/>
      <c r="O32" s="609"/>
      <c r="R32" s="630"/>
    </row>
    <row r="33" spans="1:18" ht="18" customHeight="1">
      <c r="A33" s="140"/>
      <c r="B33" s="911"/>
      <c r="C33" s="148" t="s">
        <v>829</v>
      </c>
      <c r="D33" s="1153"/>
      <c r="E33" s="1174"/>
      <c r="F33" s="1140"/>
      <c r="N33" s="611"/>
      <c r="O33" s="609"/>
      <c r="R33" s="630"/>
    </row>
    <row r="34" spans="1:18" ht="18" customHeight="1" thickBot="1">
      <c r="A34" s="140"/>
      <c r="B34" s="909">
        <f>B31+1</f>
        <v>6</v>
      </c>
      <c r="C34" s="151" t="s">
        <v>827</v>
      </c>
      <c r="D34" s="1152">
        <v>0</v>
      </c>
      <c r="E34" s="1175"/>
      <c r="F34" s="1141"/>
      <c r="N34" s="611"/>
      <c r="O34" s="609"/>
      <c r="R34" s="630"/>
    </row>
    <row r="35" spans="1:18" ht="18" customHeight="1" thickBot="1">
      <c r="A35" s="140"/>
      <c r="B35" s="1375">
        <f>B34+1</f>
        <v>7</v>
      </c>
      <c r="C35" s="1376" t="s">
        <v>828</v>
      </c>
      <c r="D35" s="1377">
        <v>0</v>
      </c>
      <c r="E35" s="1109"/>
      <c r="F35" s="1110"/>
      <c r="N35" s="611"/>
      <c r="O35" s="609"/>
      <c r="R35" s="630"/>
    </row>
    <row r="36" spans="1:18" ht="18" customHeight="1" thickBot="1">
      <c r="A36" s="140"/>
      <c r="B36" s="1382"/>
      <c r="C36" s="1383"/>
      <c r="D36" s="1384"/>
      <c r="E36" s="1385"/>
      <c r="F36" s="1386"/>
      <c r="N36" s="611"/>
      <c r="O36" s="609"/>
      <c r="R36" s="630"/>
    </row>
    <row r="37" spans="1:18" ht="18" customHeight="1">
      <c r="A37" s="140"/>
      <c r="B37" s="1378"/>
      <c r="C37" s="1379" t="s">
        <v>119</v>
      </c>
      <c r="D37" s="1380"/>
      <c r="E37" s="1381"/>
      <c r="F37" s="1140"/>
      <c r="G37" s="630"/>
    </row>
    <row r="38" spans="1:18" s="60" customFormat="1" ht="18" customHeight="1" thickBot="1">
      <c r="A38" s="125"/>
      <c r="B38" s="909">
        <f>B35+1</f>
        <v>8</v>
      </c>
      <c r="C38" s="151" t="s">
        <v>656</v>
      </c>
      <c r="D38" s="1152">
        <v>0</v>
      </c>
      <c r="E38" s="1175"/>
      <c r="F38" s="1141"/>
      <c r="G38" s="1058"/>
      <c r="O38" s="60" t="s">
        <v>120</v>
      </c>
    </row>
    <row r="39" spans="1:18" s="60" customFormat="1" ht="18" customHeight="1" thickBot="1">
      <c r="A39" s="125"/>
      <c r="B39" s="1375">
        <f>B38+1</f>
        <v>9</v>
      </c>
      <c r="C39" s="1376" t="s">
        <v>604</v>
      </c>
      <c r="D39" s="1377">
        <v>1</v>
      </c>
      <c r="E39" s="1109"/>
      <c r="F39" s="1110"/>
    </row>
    <row r="40" spans="1:18" ht="18" customHeight="1" thickBot="1">
      <c r="A40" s="23"/>
      <c r="B40" s="1382"/>
      <c r="C40" s="1383"/>
      <c r="D40" s="1384"/>
      <c r="E40" s="1385"/>
      <c r="F40" s="1386"/>
    </row>
    <row r="41" spans="1:18" ht="18" customHeight="1">
      <c r="A41" s="23"/>
      <c r="B41" s="908"/>
      <c r="C41" s="1387" t="s">
        <v>121</v>
      </c>
      <c r="D41" s="1380"/>
      <c r="E41" s="1921"/>
      <c r="F41" s="1922"/>
      <c r="I41" s="124" t="s">
        <v>774</v>
      </c>
    </row>
    <row r="42" spans="1:18" ht="18" customHeight="1">
      <c r="A42" s="23"/>
      <c r="B42" s="909">
        <f>B39+1</f>
        <v>10</v>
      </c>
      <c r="C42" s="150" t="s">
        <v>122</v>
      </c>
      <c r="D42" s="1152">
        <v>0</v>
      </c>
      <c r="E42" s="1921"/>
      <c r="F42" s="1922"/>
      <c r="J42" s="124" t="s">
        <v>775</v>
      </c>
      <c r="K42" s="41">
        <v>1</v>
      </c>
    </row>
    <row r="43" spans="1:18" ht="18" customHeight="1" thickBot="1">
      <c r="A43" s="23"/>
      <c r="B43" s="1045"/>
      <c r="C43" s="1046"/>
      <c r="D43" s="1154"/>
      <c r="E43" s="1176"/>
      <c r="F43" s="1044"/>
      <c r="J43" s="124" t="s">
        <v>776</v>
      </c>
      <c r="K43" s="41">
        <v>2</v>
      </c>
    </row>
    <row r="44" spans="1:18" ht="18" customHeight="1">
      <c r="A44" s="23"/>
      <c r="B44" s="912"/>
      <c r="C44" s="149" t="s">
        <v>123</v>
      </c>
      <c r="D44" s="1153"/>
      <c r="E44" s="1177"/>
      <c r="F44" s="1107"/>
      <c r="G44" s="918"/>
      <c r="J44" s="124" t="s">
        <v>777</v>
      </c>
      <c r="K44" s="41">
        <v>3</v>
      </c>
    </row>
    <row r="45" spans="1:18" ht="18" customHeight="1">
      <c r="A45" s="23"/>
      <c r="B45" s="909" t="str">
        <f>B42+1&amp;"."</f>
        <v>11.</v>
      </c>
      <c r="C45" s="151" t="s">
        <v>778</v>
      </c>
      <c r="D45" s="41">
        <v>3</v>
      </c>
      <c r="E45" s="1178"/>
      <c r="F45" s="1107"/>
      <c r="G45" s="918"/>
    </row>
    <row r="46" spans="1:18" ht="18" customHeight="1">
      <c r="A46" s="23"/>
      <c r="B46" s="909" t="str">
        <f t="shared" ref="B46:B50" si="0">B45+1&amp;"."</f>
        <v>12.</v>
      </c>
      <c r="C46" s="150" t="s">
        <v>131</v>
      </c>
      <c r="D46" s="41">
        <v>0</v>
      </c>
      <c r="E46" s="1178"/>
      <c r="F46" s="1107"/>
      <c r="G46" s="918"/>
      <c r="I46" s="41" t="s">
        <v>127</v>
      </c>
      <c r="M46" s="41" t="s">
        <v>124</v>
      </c>
      <c r="P46" s="41" t="s">
        <v>125</v>
      </c>
      <c r="R46" s="41" t="s">
        <v>126</v>
      </c>
    </row>
    <row r="47" spans="1:18" ht="18" customHeight="1">
      <c r="A47" s="23"/>
      <c r="B47" s="909" t="str">
        <f t="shared" si="0"/>
        <v>13.</v>
      </c>
      <c r="C47" s="150" t="s">
        <v>132</v>
      </c>
      <c r="D47" s="1152">
        <v>0</v>
      </c>
      <c r="E47" s="1178"/>
      <c r="F47" s="1107"/>
      <c r="G47" s="918"/>
      <c r="I47" s="124" t="s">
        <v>40</v>
      </c>
      <c r="J47" s="41">
        <v>0</v>
      </c>
      <c r="M47" s="41" t="s">
        <v>128</v>
      </c>
      <c r="P47" s="41" t="s">
        <v>129</v>
      </c>
      <c r="R47" s="41" t="s">
        <v>130</v>
      </c>
    </row>
    <row r="48" spans="1:18" ht="18" customHeight="1">
      <c r="A48" s="23"/>
      <c r="B48" s="909" t="str">
        <f t="shared" si="0"/>
        <v>14.</v>
      </c>
      <c r="C48" s="150" t="s">
        <v>133</v>
      </c>
      <c r="D48" s="1152">
        <v>0</v>
      </c>
      <c r="E48" s="1178"/>
      <c r="F48" s="1107"/>
      <c r="G48" s="918"/>
      <c r="I48" s="124" t="s">
        <v>39</v>
      </c>
      <c r="J48" s="41">
        <v>1</v>
      </c>
      <c r="M48" s="647" t="s">
        <v>779</v>
      </c>
      <c r="N48" s="41">
        <v>1</v>
      </c>
      <c r="R48" s="41">
        <v>0</v>
      </c>
    </row>
    <row r="49" spans="1:19" ht="18" customHeight="1">
      <c r="A49" s="23"/>
      <c r="B49" s="909" t="str">
        <f t="shared" si="0"/>
        <v>15.</v>
      </c>
      <c r="C49" s="151" t="s">
        <v>134</v>
      </c>
      <c r="D49" s="41">
        <v>1</v>
      </c>
      <c r="E49" s="1179"/>
      <c r="F49" s="1108"/>
      <c r="G49" s="918"/>
      <c r="M49" s="648" t="s">
        <v>623</v>
      </c>
      <c r="N49" s="612">
        <v>2</v>
      </c>
      <c r="O49" s="612">
        <v>1</v>
      </c>
      <c r="P49" s="612" t="s">
        <v>39</v>
      </c>
      <c r="R49" s="124" t="s">
        <v>39</v>
      </c>
      <c r="S49" s="41">
        <v>2</v>
      </c>
    </row>
    <row r="50" spans="1:19" ht="18" customHeight="1" thickBot="1">
      <c r="A50" s="23"/>
      <c r="B50" s="909" t="str">
        <f t="shared" si="0"/>
        <v>16.</v>
      </c>
      <c r="C50" s="152" t="s">
        <v>135</v>
      </c>
      <c r="D50" s="1155">
        <v>0</v>
      </c>
      <c r="E50" s="1180"/>
      <c r="F50" s="153"/>
      <c r="G50" s="918"/>
      <c r="J50" s="41" t="b">
        <v>0</v>
      </c>
      <c r="M50" s="648" t="s">
        <v>624</v>
      </c>
      <c r="N50" s="612">
        <v>3</v>
      </c>
      <c r="O50" s="612"/>
      <c r="P50" s="612"/>
      <c r="R50" s="124" t="s">
        <v>40</v>
      </c>
      <c r="S50" s="41">
        <v>1</v>
      </c>
    </row>
    <row r="51" spans="1:19" ht="18" customHeight="1">
      <c r="A51" s="23"/>
      <c r="B51" s="912"/>
      <c r="C51" s="149" t="s">
        <v>713</v>
      </c>
      <c r="D51" s="1153"/>
      <c r="E51" s="1901"/>
      <c r="F51" s="1902"/>
      <c r="G51" s="918"/>
      <c r="M51" s="648" t="s">
        <v>625</v>
      </c>
      <c r="N51" s="41">
        <v>4</v>
      </c>
      <c r="P51" s="41">
        <v>2</v>
      </c>
    </row>
    <row r="52" spans="1:19" ht="18" customHeight="1" thickBot="1">
      <c r="A52" s="23"/>
      <c r="B52" s="909" t="str">
        <f>B50+1&amp;"."</f>
        <v>17.</v>
      </c>
      <c r="C52" s="152" t="s">
        <v>703</v>
      </c>
      <c r="D52" s="1156">
        <v>0</v>
      </c>
      <c r="E52" s="1903"/>
      <c r="F52" s="1904"/>
    </row>
    <row r="53" spans="1:19" ht="18" customHeight="1" thickBot="1">
      <c r="A53" s="23"/>
      <c r="B53" s="908">
        <f>B52+1</f>
        <v>18</v>
      </c>
      <c r="C53" s="1049" t="s">
        <v>646</v>
      </c>
      <c r="D53" s="1157">
        <v>1</v>
      </c>
      <c r="E53" s="1178"/>
      <c r="F53" s="1048"/>
      <c r="J53" s="41">
        <f>'Inpatient Workload'!E27</f>
        <v>0</v>
      </c>
    </row>
    <row r="54" spans="1:19" ht="18" customHeight="1">
      <c r="A54" s="23"/>
      <c r="B54" s="912"/>
      <c r="C54" s="149" t="s">
        <v>767</v>
      </c>
      <c r="D54" s="1153"/>
      <c r="E54" s="1901"/>
      <c r="F54" s="1902"/>
    </row>
    <row r="55" spans="1:19" ht="18" customHeight="1" thickBot="1">
      <c r="A55" s="23"/>
      <c r="B55" s="909">
        <f>B53+1</f>
        <v>19</v>
      </c>
      <c r="C55" s="154" t="s">
        <v>136</v>
      </c>
      <c r="D55" s="1158">
        <v>0</v>
      </c>
      <c r="E55" s="1903"/>
      <c r="F55" s="1904"/>
    </row>
    <row r="56" spans="1:19" ht="18" customHeight="1" thickBot="1">
      <c r="A56" s="23"/>
      <c r="B56" s="913"/>
      <c r="C56" s="155"/>
      <c r="D56" s="1159"/>
      <c r="E56" s="1181" t="s">
        <v>94</v>
      </c>
      <c r="F56" s="156">
        <f ca="1">ROUND(FTE_FTE_Calc,0)</f>
        <v>0</v>
      </c>
    </row>
    <row r="57" spans="1:19" ht="18" customHeight="1">
      <c r="A57" s="23"/>
      <c r="B57" s="913"/>
      <c r="C57" s="155"/>
      <c r="D57" s="1160"/>
      <c r="E57" s="1182"/>
      <c r="F57" s="159"/>
    </row>
    <row r="58" spans="1:19" ht="18" customHeight="1">
      <c r="A58" s="23"/>
      <c r="B58" s="1900"/>
      <c r="C58" s="1900"/>
      <c r="D58" s="1900"/>
      <c r="E58" s="1900"/>
      <c r="F58" s="1900"/>
    </row>
    <row r="59" spans="1:19" ht="18" customHeight="1">
      <c r="A59" s="23"/>
      <c r="B59" s="1900"/>
      <c r="C59" s="1900"/>
      <c r="D59" s="1900"/>
      <c r="E59" s="1900"/>
      <c r="F59" s="1900"/>
    </row>
    <row r="60" spans="1:19" ht="18" customHeight="1">
      <c r="A60" s="23"/>
      <c r="B60" s="1900"/>
      <c r="C60" s="1900"/>
      <c r="D60" s="1900"/>
      <c r="E60" s="1900"/>
      <c r="F60" s="1900"/>
    </row>
    <row r="61" spans="1:19" ht="18" customHeight="1">
      <c r="A61" s="23"/>
      <c r="B61" s="1900"/>
      <c r="C61" s="1900"/>
      <c r="D61" s="1900"/>
      <c r="E61" s="1900"/>
      <c r="F61" s="1900"/>
    </row>
    <row r="62" spans="1:19" ht="18" customHeight="1">
      <c r="A62" s="23"/>
      <c r="B62" s="1900"/>
      <c r="C62" s="1900"/>
      <c r="D62" s="1900"/>
      <c r="E62" s="1900"/>
      <c r="F62" s="1900"/>
    </row>
    <row r="63" spans="1:19" ht="18" customHeight="1">
      <c r="A63" s="23"/>
      <c r="B63" s="1900"/>
      <c r="C63" s="1900"/>
      <c r="D63" s="1900"/>
      <c r="E63" s="1900"/>
      <c r="F63" s="1900"/>
    </row>
    <row r="64" spans="1:19" ht="18" customHeight="1">
      <c r="A64" s="23"/>
      <c r="B64" s="1900"/>
      <c r="C64" s="1900"/>
      <c r="D64" s="1900"/>
      <c r="E64" s="1900"/>
      <c r="F64" s="1900"/>
    </row>
    <row r="65" spans="1:7" ht="18" customHeight="1">
      <c r="A65" s="23"/>
      <c r="B65" s="1900"/>
      <c r="C65" s="1900"/>
      <c r="D65" s="1900"/>
      <c r="E65" s="1900"/>
      <c r="F65" s="1900"/>
    </row>
    <row r="66" spans="1:7" ht="18" customHeight="1">
      <c r="A66" s="23"/>
      <c r="B66" s="913"/>
      <c r="C66" s="155"/>
      <c r="D66" s="1160"/>
      <c r="E66" s="1182"/>
      <c r="F66" s="159"/>
    </row>
    <row r="67" spans="1:7" hidden="1">
      <c r="A67" s="23"/>
    </row>
    <row r="68" spans="1:7" hidden="1">
      <c r="A68" s="23"/>
    </row>
    <row r="69" spans="1:7" hidden="1"/>
    <row r="70" spans="1:7" hidden="1"/>
    <row r="71" spans="1:7" hidden="1"/>
    <row r="72" spans="1:7" hidden="1"/>
    <row r="73" spans="1:7" hidden="1"/>
    <row r="74" spans="1:7" hidden="1">
      <c r="G74" s="124"/>
    </row>
    <row r="75" spans="1:7" hidden="1">
      <c r="G75" s="124"/>
    </row>
    <row r="76" spans="1:7" hidden="1">
      <c r="G76" s="124"/>
    </row>
    <row r="77" spans="1:7" hidden="1"/>
    <row r="78" spans="1:7" hidden="1"/>
    <row r="79" spans="1:7" hidden="1">
      <c r="B79" s="915"/>
      <c r="C79" s="23"/>
      <c r="D79" s="40"/>
      <c r="E79" s="40"/>
      <c r="F79" s="23"/>
    </row>
    <row r="80" spans="1:7" hidden="1">
      <c r="B80" s="915"/>
      <c r="C80" s="23"/>
      <c r="D80" s="40"/>
      <c r="E80" s="40"/>
      <c r="F80" s="23"/>
    </row>
    <row r="81" spans="1:6" hidden="1">
      <c r="A81" s="23"/>
      <c r="B81" s="915"/>
      <c r="C81" s="23"/>
      <c r="D81" s="40"/>
      <c r="E81" s="40"/>
      <c r="F81" s="23"/>
    </row>
    <row r="82" spans="1:6" hidden="1">
      <c r="A82" s="23"/>
      <c r="B82" s="915"/>
      <c r="C82" s="23"/>
      <c r="D82" s="40"/>
      <c r="E82" s="40"/>
      <c r="F82" s="23"/>
    </row>
    <row r="83" spans="1:6" hidden="1">
      <c r="A83" s="23"/>
      <c r="B83" s="915"/>
      <c r="C83" s="23"/>
      <c r="D83" s="40"/>
      <c r="E83" s="40"/>
      <c r="F83" s="23"/>
    </row>
    <row r="84" spans="1:6" hidden="1">
      <c r="A84" s="23"/>
      <c r="B84" s="915"/>
      <c r="C84" s="23"/>
      <c r="D84" s="40"/>
      <c r="E84" s="40"/>
      <c r="F84" s="23"/>
    </row>
    <row r="85" spans="1:6" hidden="1">
      <c r="A85" s="23"/>
      <c r="B85" s="915"/>
      <c r="C85" s="23"/>
      <c r="D85" s="40"/>
      <c r="E85" s="40"/>
      <c r="F85" s="23"/>
    </row>
    <row r="86" spans="1:6" hidden="1">
      <c r="A86" s="23"/>
      <c r="B86" s="913"/>
      <c r="C86" s="160"/>
      <c r="D86" s="1162"/>
      <c r="E86" s="1183"/>
      <c r="F86" s="104"/>
    </row>
    <row r="87" spans="1:6" hidden="1">
      <c r="A87" s="23"/>
      <c r="B87" s="913"/>
      <c r="C87" s="23"/>
      <c r="D87" s="1163"/>
      <c r="E87" s="1164"/>
      <c r="F87" s="23"/>
    </row>
    <row r="88" spans="1:6" hidden="1">
      <c r="A88" s="23"/>
      <c r="B88" s="913"/>
      <c r="C88" s="23"/>
      <c r="D88" s="1162"/>
      <c r="E88" s="40"/>
      <c r="F88" s="23"/>
    </row>
    <row r="89" spans="1:6" hidden="1">
      <c r="A89" s="23"/>
      <c r="B89" s="913"/>
      <c r="C89" s="23"/>
      <c r="D89" s="1162"/>
      <c r="E89" s="40"/>
      <c r="F89" s="23"/>
    </row>
    <row r="90" spans="1:6" hidden="1">
      <c r="A90" s="23"/>
      <c r="B90" s="913"/>
      <c r="C90" s="23"/>
      <c r="D90" s="1162"/>
      <c r="E90" s="40"/>
      <c r="F90" s="23"/>
    </row>
    <row r="91" spans="1:6" hidden="1">
      <c r="A91" s="23"/>
      <c r="B91" s="913"/>
      <c r="C91" s="23"/>
      <c r="D91" s="1162"/>
      <c r="E91" s="40"/>
      <c r="F91" s="23"/>
    </row>
    <row r="92" spans="1:6" hidden="1">
      <c r="A92" s="23"/>
      <c r="B92" s="913"/>
      <c r="C92" s="23"/>
      <c r="D92" s="1162"/>
      <c r="E92" s="40"/>
      <c r="F92" s="23"/>
    </row>
    <row r="93" spans="1:6" hidden="1">
      <c r="A93" s="23"/>
      <c r="B93" s="913"/>
      <c r="C93" s="23"/>
      <c r="D93" s="1164"/>
      <c r="E93" s="1164"/>
      <c r="F93" s="23"/>
    </row>
    <row r="94" spans="1:6" hidden="1">
      <c r="A94" s="23"/>
      <c r="B94" s="913"/>
      <c r="C94" s="23"/>
      <c r="D94" s="1164"/>
      <c r="E94" s="1164"/>
      <c r="F94" s="23"/>
    </row>
    <row r="95" spans="1:6" hidden="1">
      <c r="A95" s="23"/>
      <c r="B95" s="913"/>
      <c r="C95" s="23"/>
      <c r="D95" s="1164"/>
      <c r="E95" s="1164"/>
      <c r="F95" s="23"/>
    </row>
    <row r="96" spans="1:6" hidden="1">
      <c r="A96" s="23"/>
      <c r="B96" s="913"/>
      <c r="C96" s="23"/>
      <c r="D96" s="1164"/>
      <c r="E96" s="1164"/>
      <c r="F96" s="23"/>
    </row>
    <row r="97" spans="1:6" hidden="1">
      <c r="A97" s="23"/>
      <c r="B97" s="913"/>
      <c r="C97" s="23"/>
      <c r="D97" s="1164"/>
      <c r="E97" s="1164"/>
      <c r="F97" s="23"/>
    </row>
    <row r="98" spans="1:6" hidden="1">
      <c r="A98" s="23"/>
      <c r="B98" s="913"/>
      <c r="C98" s="23"/>
      <c r="D98" s="1164"/>
      <c r="E98" s="1164"/>
      <c r="F98" s="23"/>
    </row>
    <row r="99" spans="1:6" hidden="1">
      <c r="A99" s="23"/>
      <c r="B99" s="913"/>
      <c r="C99" s="23"/>
      <c r="D99" s="1162"/>
      <c r="E99" s="40"/>
      <c r="F99" s="40"/>
    </row>
    <row r="100" spans="1:6" hidden="1">
      <c r="A100" s="23"/>
      <c r="B100" s="913"/>
      <c r="C100" s="23"/>
      <c r="D100" s="1162"/>
      <c r="E100" s="40"/>
      <c r="F100" s="40"/>
    </row>
    <row r="101" spans="1:6" hidden="1">
      <c r="A101" s="23"/>
      <c r="B101" s="913"/>
      <c r="C101" s="23"/>
      <c r="D101" s="1162"/>
      <c r="E101" s="40"/>
      <c r="F101" s="40"/>
    </row>
    <row r="102" spans="1:6" hidden="1">
      <c r="A102" s="23"/>
      <c r="B102" s="913"/>
      <c r="C102" s="23"/>
      <c r="D102" s="1162"/>
      <c r="E102" s="40"/>
      <c r="F102" s="40"/>
    </row>
    <row r="103" spans="1:6" hidden="1">
      <c r="A103" s="23"/>
      <c r="B103" s="913"/>
      <c r="C103" s="23"/>
      <c r="D103" s="1162"/>
      <c r="E103" s="40"/>
      <c r="F103" s="40"/>
    </row>
    <row r="104" spans="1:6" hidden="1">
      <c r="A104" s="23"/>
      <c r="B104" s="913"/>
      <c r="C104" s="23"/>
      <c r="D104" s="1162"/>
      <c r="E104" s="40"/>
      <c r="F104" s="40"/>
    </row>
    <row r="105" spans="1:6" hidden="1">
      <c r="A105" s="23"/>
      <c r="B105" s="913"/>
      <c r="C105" s="23"/>
      <c r="D105" s="1162"/>
      <c r="E105" s="40"/>
      <c r="F105" s="40"/>
    </row>
    <row r="106" spans="1:6" hidden="1">
      <c r="A106" s="23"/>
      <c r="B106" s="913"/>
      <c r="C106" s="23"/>
      <c r="D106" s="1162"/>
      <c r="E106" s="40"/>
      <c r="F106" s="40"/>
    </row>
    <row r="107" spans="1:6" hidden="1">
      <c r="A107" s="23"/>
      <c r="B107" s="913"/>
      <c r="C107" s="23"/>
      <c r="D107" s="1162"/>
      <c r="E107" s="40"/>
      <c r="F107" s="40"/>
    </row>
    <row r="108" spans="1:6" hidden="1">
      <c r="A108" s="23"/>
      <c r="B108" s="913"/>
      <c r="C108" s="23"/>
      <c r="D108" s="1162"/>
      <c r="E108" s="40"/>
      <c r="F108" s="40"/>
    </row>
    <row r="109" spans="1:6" hidden="1">
      <c r="A109" s="23"/>
      <c r="B109" s="913"/>
      <c r="C109" s="23"/>
      <c r="D109" s="1162"/>
      <c r="E109" s="40"/>
      <c r="F109" s="40"/>
    </row>
    <row r="110" spans="1:6" hidden="1">
      <c r="A110" s="23"/>
      <c r="B110" s="913"/>
      <c r="C110" s="23"/>
      <c r="D110" s="1162"/>
      <c r="E110" s="40"/>
      <c r="F110" s="40"/>
    </row>
    <row r="111" spans="1:6" hidden="1">
      <c r="A111" s="23"/>
      <c r="B111" s="913"/>
      <c r="C111" s="23"/>
      <c r="D111" s="1162"/>
      <c r="E111" s="40"/>
      <c r="F111" s="40"/>
    </row>
    <row r="112" spans="1:6" hidden="1">
      <c r="A112" s="23"/>
      <c r="B112" s="913"/>
      <c r="C112" s="23"/>
      <c r="D112" s="1162"/>
      <c r="E112" s="40"/>
      <c r="F112" s="40"/>
    </row>
    <row r="113" spans="1:6" hidden="1">
      <c r="A113" s="23"/>
      <c r="B113" s="913"/>
      <c r="C113" s="23"/>
      <c r="D113" s="1162"/>
      <c r="E113" s="40"/>
      <c r="F113" s="40"/>
    </row>
    <row r="114" spans="1:6" hidden="1">
      <c r="A114" s="23"/>
      <c r="B114" s="913"/>
      <c r="C114" s="23"/>
      <c r="D114" s="1162"/>
      <c r="E114" s="40"/>
      <c r="F114" s="40"/>
    </row>
    <row r="115" spans="1:6" hidden="1">
      <c r="A115" s="23"/>
      <c r="B115" s="913"/>
      <c r="C115" s="23"/>
      <c r="D115" s="1162"/>
      <c r="E115" s="40"/>
      <c r="F115" s="40"/>
    </row>
    <row r="116" spans="1:6" hidden="1">
      <c r="A116" s="23"/>
      <c r="B116" s="913"/>
      <c r="C116" s="23"/>
      <c r="D116" s="1162"/>
      <c r="E116" s="40"/>
      <c r="F116" s="40"/>
    </row>
    <row r="117" spans="1:6" hidden="1">
      <c r="A117" s="23"/>
      <c r="B117" s="913"/>
      <c r="C117" s="23"/>
      <c r="D117" s="1162"/>
      <c r="E117" s="40"/>
      <c r="F117" s="40"/>
    </row>
    <row r="118" spans="1:6" hidden="1">
      <c r="A118" s="23"/>
      <c r="B118" s="913"/>
      <c r="C118" s="23"/>
      <c r="D118" s="1162"/>
      <c r="E118" s="40"/>
      <c r="F118" s="40"/>
    </row>
    <row r="119" spans="1:6" hidden="1">
      <c r="A119" s="23"/>
      <c r="B119" s="913"/>
      <c r="C119" s="23"/>
      <c r="D119" s="1162"/>
      <c r="E119" s="40"/>
      <c r="F119" s="40"/>
    </row>
    <row r="120" spans="1:6" hidden="1">
      <c r="A120" s="23"/>
      <c r="B120" s="913"/>
      <c r="C120" s="23"/>
      <c r="D120" s="1162"/>
      <c r="E120" s="40"/>
      <c r="F120" s="40"/>
    </row>
    <row r="121" spans="1:6" hidden="1">
      <c r="A121" s="23"/>
      <c r="B121" s="913"/>
      <c r="C121" s="23"/>
      <c r="D121" s="1162"/>
      <c r="E121" s="40"/>
      <c r="F121" s="40"/>
    </row>
    <row r="122" spans="1:6" hidden="1">
      <c r="A122" s="23"/>
      <c r="B122" s="913"/>
      <c r="C122" s="23"/>
      <c r="D122" s="1162"/>
      <c r="E122" s="40"/>
      <c r="F122" s="40"/>
    </row>
    <row r="123" spans="1:6" hidden="1">
      <c r="A123" s="23"/>
      <c r="B123" s="913"/>
      <c r="C123" s="23"/>
      <c r="D123" s="1162"/>
      <c r="E123" s="40"/>
      <c r="F123" s="40"/>
    </row>
    <row r="124" spans="1:6" hidden="1">
      <c r="A124" s="23"/>
      <c r="B124" s="913"/>
      <c r="C124" s="23"/>
      <c r="D124" s="1162"/>
      <c r="E124" s="40"/>
      <c r="F124" s="40"/>
    </row>
    <row r="125" spans="1:6" hidden="1">
      <c r="A125" s="23"/>
      <c r="B125" s="913"/>
      <c r="C125" s="23"/>
      <c r="D125" s="1162"/>
      <c r="E125" s="40"/>
      <c r="F125" s="40"/>
    </row>
    <row r="126" spans="1:6" hidden="1">
      <c r="A126" s="23"/>
      <c r="B126" s="913"/>
      <c r="C126" s="23"/>
      <c r="D126" s="1162"/>
      <c r="E126" s="40"/>
      <c r="F126" s="40"/>
    </row>
    <row r="127" spans="1:6" hidden="1">
      <c r="A127" s="23"/>
      <c r="B127" s="913"/>
      <c r="C127" s="23"/>
      <c r="D127" s="1162"/>
      <c r="E127" s="40"/>
      <c r="F127" s="40"/>
    </row>
    <row r="128" spans="1:6" hidden="1">
      <c r="A128" s="23"/>
      <c r="B128" s="913"/>
      <c r="C128" s="23"/>
      <c r="D128" s="1162"/>
      <c r="E128" s="40"/>
      <c r="F128" s="40"/>
    </row>
    <row r="129" spans="1:6" hidden="1">
      <c r="A129" s="23"/>
      <c r="B129" s="913"/>
      <c r="C129" s="23"/>
      <c r="D129" s="1162"/>
      <c r="E129" s="40"/>
      <c r="F129" s="40"/>
    </row>
    <row r="130" spans="1:6" hidden="1">
      <c r="A130" s="23"/>
      <c r="B130" s="913"/>
      <c r="C130" s="23"/>
      <c r="D130" s="1162"/>
      <c r="E130" s="40"/>
      <c r="F130" s="40"/>
    </row>
    <row r="131" spans="1:6" hidden="1">
      <c r="A131" s="23"/>
      <c r="B131" s="913"/>
      <c r="C131" s="23"/>
      <c r="D131" s="1162"/>
      <c r="E131" s="40"/>
      <c r="F131" s="40"/>
    </row>
    <row r="132" spans="1:6" hidden="1">
      <c r="A132" s="23"/>
      <c r="B132" s="913"/>
      <c r="C132" s="23"/>
      <c r="D132" s="1162"/>
      <c r="E132" s="40"/>
      <c r="F132" s="40"/>
    </row>
    <row r="133" spans="1:6" hidden="1">
      <c r="A133" s="23"/>
      <c r="B133" s="913"/>
      <c r="C133" s="23"/>
      <c r="D133" s="1162"/>
      <c r="E133" s="40"/>
      <c r="F133" s="40"/>
    </row>
    <row r="134" spans="1:6" hidden="1">
      <c r="A134" s="23"/>
      <c r="B134" s="913"/>
      <c r="C134" s="23"/>
      <c r="D134" s="1162"/>
      <c r="E134" s="40"/>
      <c r="F134" s="40"/>
    </row>
    <row r="135" spans="1:6" hidden="1">
      <c r="A135" s="23"/>
      <c r="B135" s="913"/>
      <c r="C135" s="23"/>
      <c r="D135" s="1162"/>
      <c r="E135" s="40"/>
      <c r="F135" s="40"/>
    </row>
    <row r="136" spans="1:6" hidden="1">
      <c r="A136" s="23"/>
      <c r="B136" s="913"/>
      <c r="C136" s="23"/>
      <c r="D136" s="1162"/>
      <c r="E136" s="40"/>
      <c r="F136" s="40"/>
    </row>
    <row r="137" spans="1:6" hidden="1">
      <c r="A137" s="23"/>
      <c r="B137" s="913"/>
      <c r="C137" s="23"/>
      <c r="D137" s="1162"/>
      <c r="E137" s="40"/>
      <c r="F137" s="40"/>
    </row>
    <row r="138" spans="1:6" hidden="1">
      <c r="A138" s="23"/>
      <c r="B138" s="913"/>
      <c r="C138" s="23"/>
      <c r="D138" s="1162"/>
      <c r="E138" s="40"/>
      <c r="F138" s="40"/>
    </row>
    <row r="139" spans="1:6" hidden="1">
      <c r="A139" s="23"/>
      <c r="B139" s="913"/>
      <c r="C139" s="23"/>
      <c r="D139" s="1162"/>
      <c r="E139" s="40"/>
      <c r="F139" s="40"/>
    </row>
    <row r="140" spans="1:6" hidden="1">
      <c r="A140" s="23"/>
      <c r="B140" s="913"/>
      <c r="C140" s="23"/>
      <c r="D140" s="1162"/>
      <c r="E140" s="40"/>
      <c r="F140" s="40"/>
    </row>
    <row r="141" spans="1:6" hidden="1">
      <c r="A141" s="23"/>
      <c r="B141" s="913"/>
      <c r="C141" s="23"/>
      <c r="D141" s="1162"/>
      <c r="E141" s="40"/>
      <c r="F141" s="40"/>
    </row>
    <row r="142" spans="1:6" hidden="1">
      <c r="A142" s="23"/>
      <c r="B142" s="913"/>
      <c r="C142" s="23"/>
      <c r="D142" s="1162"/>
      <c r="E142" s="40"/>
      <c r="F142" s="40"/>
    </row>
    <row r="143" spans="1:6" hidden="1">
      <c r="A143" s="23"/>
      <c r="B143" s="913"/>
      <c r="C143" s="23"/>
      <c r="D143" s="1162"/>
      <c r="E143" s="40"/>
      <c r="F143" s="40"/>
    </row>
    <row r="144" spans="1:6" hidden="1">
      <c r="A144" s="23"/>
      <c r="B144" s="913"/>
      <c r="C144" s="23"/>
      <c r="D144" s="1162"/>
      <c r="E144" s="40"/>
      <c r="F144" s="40"/>
    </row>
    <row r="145" spans="1:6" hidden="1">
      <c r="A145" s="23"/>
      <c r="B145" s="913"/>
      <c r="C145" s="23"/>
      <c r="D145" s="1162"/>
      <c r="E145" s="40"/>
      <c r="F145" s="40"/>
    </row>
    <row r="146" spans="1:6" hidden="1">
      <c r="A146" s="23"/>
      <c r="B146" s="913"/>
      <c r="C146" s="23"/>
      <c r="D146" s="1162"/>
      <c r="E146" s="40"/>
      <c r="F146" s="40"/>
    </row>
    <row r="147" spans="1:6" hidden="1">
      <c r="A147" s="23"/>
      <c r="B147" s="913"/>
      <c r="C147" s="23"/>
      <c r="D147" s="1162"/>
      <c r="E147" s="40"/>
      <c r="F147" s="40"/>
    </row>
    <row r="148" spans="1:6" hidden="1">
      <c r="A148" s="23"/>
      <c r="B148" s="913"/>
      <c r="C148" s="23"/>
      <c r="D148" s="1162"/>
      <c r="E148" s="40"/>
      <c r="F148" s="40"/>
    </row>
    <row r="149" spans="1:6" hidden="1">
      <c r="A149" s="23"/>
      <c r="B149" s="913"/>
      <c r="C149" s="23"/>
      <c r="D149" s="1162"/>
      <c r="E149" s="40"/>
      <c r="F149" s="40"/>
    </row>
    <row r="150" spans="1:6" hidden="1">
      <c r="A150" s="23"/>
      <c r="B150" s="913"/>
      <c r="C150" s="23"/>
      <c r="D150" s="1162"/>
      <c r="E150" s="40"/>
      <c r="F150" s="40"/>
    </row>
    <row r="151" spans="1:6" hidden="1">
      <c r="A151" s="23"/>
      <c r="B151" s="913"/>
      <c r="C151" s="23"/>
      <c r="D151" s="1162"/>
      <c r="E151" s="40"/>
      <c r="F151" s="40"/>
    </row>
    <row r="152" spans="1:6" hidden="1">
      <c r="A152" s="23"/>
      <c r="B152" s="913"/>
      <c r="C152" s="23"/>
      <c r="D152" s="1162"/>
      <c r="E152" s="40"/>
      <c r="F152" s="40"/>
    </row>
    <row r="153" spans="1:6" hidden="1">
      <c r="A153" s="23"/>
      <c r="B153" s="913"/>
      <c r="C153" s="23"/>
      <c r="D153" s="1162"/>
      <c r="E153" s="40"/>
      <c r="F153" s="40"/>
    </row>
    <row r="154" spans="1:6" hidden="1">
      <c r="A154" s="23"/>
      <c r="B154" s="913"/>
      <c r="C154" s="23"/>
      <c r="D154" s="1162"/>
      <c r="E154" s="40"/>
      <c r="F154" s="40"/>
    </row>
    <row r="155" spans="1:6" hidden="1">
      <c r="A155" s="23"/>
      <c r="B155" s="913"/>
      <c r="C155" s="23"/>
      <c r="D155" s="1162"/>
      <c r="E155" s="40"/>
      <c r="F155" s="40"/>
    </row>
    <row r="156" spans="1:6" hidden="1">
      <c r="A156" s="23"/>
      <c r="B156" s="913"/>
      <c r="C156" s="23"/>
      <c r="D156" s="1162"/>
      <c r="E156" s="40"/>
      <c r="F156" s="40"/>
    </row>
    <row r="157" spans="1:6" hidden="1">
      <c r="A157" s="23"/>
      <c r="B157" s="913"/>
      <c r="C157" s="23"/>
      <c r="D157" s="1162"/>
      <c r="E157" s="40"/>
      <c r="F157" s="40"/>
    </row>
    <row r="158" spans="1:6" hidden="1">
      <c r="A158" s="23"/>
      <c r="B158" s="913"/>
      <c r="C158" s="23"/>
      <c r="D158" s="1162"/>
      <c r="E158" s="40"/>
      <c r="F158" s="40"/>
    </row>
    <row r="159" spans="1:6" hidden="1">
      <c r="A159" s="23"/>
      <c r="B159" s="913"/>
      <c r="C159" s="23"/>
      <c r="D159" s="1162"/>
      <c r="E159" s="40"/>
      <c r="F159" s="40"/>
    </row>
    <row r="160" spans="1:6" hidden="1">
      <c r="A160" s="23"/>
      <c r="B160" s="913"/>
      <c r="C160" s="23"/>
      <c r="D160" s="1162"/>
      <c r="E160" s="40"/>
      <c r="F160" s="40"/>
    </row>
    <row r="161" spans="1:6" hidden="1">
      <c r="A161" s="23"/>
      <c r="B161" s="913"/>
      <c r="C161" s="23"/>
      <c r="D161" s="1162"/>
      <c r="E161" s="40"/>
      <c r="F161" s="40"/>
    </row>
    <row r="162" spans="1:6" hidden="1">
      <c r="A162" s="23"/>
      <c r="B162" s="913"/>
      <c r="C162" s="23"/>
      <c r="D162" s="1162"/>
      <c r="E162" s="40"/>
      <c r="F162" s="40"/>
    </row>
    <row r="163" spans="1:6" hidden="1">
      <c r="A163" s="23"/>
      <c r="B163" s="913"/>
      <c r="C163" s="23"/>
      <c r="D163" s="1162"/>
      <c r="E163" s="40"/>
      <c r="F163" s="40"/>
    </row>
    <row r="164" spans="1:6" hidden="1">
      <c r="A164" s="23"/>
      <c r="B164" s="913"/>
      <c r="C164" s="23"/>
      <c r="D164" s="1162"/>
      <c r="E164" s="40"/>
      <c r="F164" s="40"/>
    </row>
    <row r="165" spans="1:6" hidden="1">
      <c r="A165" s="23"/>
      <c r="B165" s="913"/>
      <c r="C165" s="23"/>
      <c r="D165" s="1162"/>
      <c r="E165" s="40"/>
      <c r="F165" s="40"/>
    </row>
    <row r="166" spans="1:6" hidden="1">
      <c r="A166" s="23"/>
      <c r="B166" s="913"/>
      <c r="C166" s="23"/>
      <c r="D166" s="1162"/>
      <c r="E166" s="40"/>
      <c r="F166" s="40"/>
    </row>
    <row r="167" spans="1:6" hidden="1">
      <c r="A167" s="23"/>
      <c r="B167" s="913"/>
      <c r="C167" s="23"/>
      <c r="D167" s="1162"/>
      <c r="E167" s="40"/>
      <c r="F167" s="40"/>
    </row>
    <row r="168" spans="1:6" hidden="1">
      <c r="A168" s="23"/>
      <c r="B168" s="913"/>
      <c r="C168" s="23"/>
      <c r="D168" s="1162"/>
      <c r="E168" s="40"/>
      <c r="F168" s="40"/>
    </row>
    <row r="169" spans="1:6" hidden="1">
      <c r="A169" s="23"/>
      <c r="B169" s="913"/>
      <c r="C169" s="23"/>
      <c r="D169" s="1162"/>
      <c r="E169" s="40"/>
      <c r="F169" s="40"/>
    </row>
    <row r="170" spans="1:6" hidden="1">
      <c r="A170" s="23"/>
      <c r="B170" s="913"/>
      <c r="C170" s="23"/>
      <c r="D170" s="1162"/>
      <c r="E170" s="40"/>
      <c r="F170" s="40"/>
    </row>
    <row r="171" spans="1:6" hidden="1">
      <c r="A171" s="23"/>
      <c r="B171" s="913"/>
      <c r="C171" s="23"/>
      <c r="D171" s="1162"/>
      <c r="E171" s="40"/>
      <c r="F171" s="40"/>
    </row>
    <row r="172" spans="1:6" hidden="1">
      <c r="A172" s="23"/>
      <c r="B172" s="913"/>
      <c r="C172" s="23"/>
      <c r="D172" s="1162"/>
      <c r="E172" s="40"/>
      <c r="F172" s="40"/>
    </row>
    <row r="173" spans="1:6" hidden="1">
      <c r="A173" s="23"/>
      <c r="B173" s="913"/>
      <c r="C173" s="23"/>
      <c r="D173" s="1162"/>
      <c r="E173" s="40"/>
      <c r="F173" s="40"/>
    </row>
    <row r="174" spans="1:6" hidden="1">
      <c r="A174" s="23"/>
      <c r="B174" s="913"/>
      <c r="C174" s="23"/>
      <c r="D174" s="1162"/>
      <c r="E174" s="40"/>
      <c r="F174" s="40"/>
    </row>
    <row r="175" spans="1:6" hidden="1">
      <c r="A175" s="23"/>
      <c r="B175" s="913"/>
      <c r="C175" s="23"/>
      <c r="D175" s="1162"/>
      <c r="E175" s="40"/>
      <c r="F175" s="40"/>
    </row>
    <row r="176" spans="1:6" hidden="1">
      <c r="A176" s="23"/>
      <c r="B176" s="913"/>
      <c r="C176" s="23"/>
      <c r="D176" s="1162"/>
      <c r="E176" s="40"/>
      <c r="F176" s="40"/>
    </row>
    <row r="177" spans="1:6" hidden="1">
      <c r="A177" s="23"/>
      <c r="B177" s="913"/>
      <c r="C177" s="23"/>
      <c r="D177" s="1162"/>
      <c r="E177" s="40"/>
      <c r="F177" s="40"/>
    </row>
    <row r="178" spans="1:6" hidden="1">
      <c r="A178" s="23"/>
      <c r="B178" s="913"/>
      <c r="C178" s="23"/>
      <c r="D178" s="1162"/>
      <c r="E178" s="40"/>
      <c r="F178" s="40"/>
    </row>
    <row r="179" spans="1:6" hidden="1">
      <c r="A179" s="23"/>
      <c r="B179" s="913"/>
      <c r="C179" s="23"/>
      <c r="D179" s="1162"/>
      <c r="E179" s="40"/>
      <c r="F179" s="40"/>
    </row>
    <row r="180" spans="1:6" hidden="1">
      <c r="A180" s="23"/>
      <c r="B180" s="913"/>
      <c r="C180" s="23"/>
      <c r="D180" s="1162"/>
      <c r="E180" s="40"/>
      <c r="F180" s="40"/>
    </row>
    <row r="181" spans="1:6" hidden="1">
      <c r="A181" s="23"/>
      <c r="B181" s="913"/>
      <c r="C181" s="23"/>
      <c r="D181" s="1162"/>
      <c r="E181" s="40"/>
      <c r="F181" s="40"/>
    </row>
    <row r="182" spans="1:6" hidden="1">
      <c r="A182" s="23"/>
      <c r="B182" s="913"/>
      <c r="C182" s="23"/>
      <c r="D182" s="1162"/>
      <c r="E182" s="40"/>
      <c r="F182" s="40"/>
    </row>
    <row r="183" spans="1:6" hidden="1">
      <c r="A183" s="23"/>
      <c r="B183" s="913"/>
      <c r="C183" s="23"/>
      <c r="D183" s="1162"/>
      <c r="E183" s="40"/>
      <c r="F183" s="40"/>
    </row>
    <row r="184" spans="1:6" hidden="1">
      <c r="A184" s="23"/>
      <c r="B184" s="913"/>
      <c r="C184" s="23"/>
      <c r="D184" s="1162"/>
      <c r="E184" s="40"/>
      <c r="F184" s="40"/>
    </row>
    <row r="185" spans="1:6" hidden="1">
      <c r="A185" s="23"/>
      <c r="B185" s="913"/>
      <c r="C185" s="23"/>
      <c r="D185" s="1162"/>
      <c r="E185" s="40"/>
      <c r="F185" s="40"/>
    </row>
    <row r="186" spans="1:6" hidden="1">
      <c r="A186" s="23"/>
      <c r="B186" s="913"/>
      <c r="C186" s="23"/>
      <c r="D186" s="1162"/>
      <c r="E186" s="40"/>
      <c r="F186" s="40"/>
    </row>
    <row r="187" spans="1:6" hidden="1">
      <c r="A187" s="23"/>
      <c r="B187" s="913"/>
      <c r="C187" s="23"/>
      <c r="D187" s="1162"/>
      <c r="E187" s="40"/>
      <c r="F187" s="40"/>
    </row>
    <row r="188" spans="1:6" hidden="1">
      <c r="A188" s="23"/>
      <c r="B188" s="913"/>
      <c r="C188" s="23"/>
      <c r="D188" s="1162"/>
      <c r="E188" s="40"/>
      <c r="F188" s="40"/>
    </row>
    <row r="189" spans="1:6" hidden="1">
      <c r="A189" s="23"/>
      <c r="B189" s="913"/>
      <c r="C189" s="23"/>
      <c r="D189" s="1162"/>
      <c r="E189" s="40"/>
      <c r="F189" s="40"/>
    </row>
    <row r="190" spans="1:6" hidden="1">
      <c r="A190" s="23"/>
      <c r="B190" s="913"/>
      <c r="C190" s="23"/>
      <c r="D190" s="1162"/>
      <c r="E190" s="40"/>
      <c r="F190" s="40"/>
    </row>
    <row r="191" spans="1:6" hidden="1">
      <c r="A191" s="23"/>
      <c r="B191" s="913"/>
      <c r="C191" s="23"/>
      <c r="D191" s="1162"/>
      <c r="E191" s="40"/>
      <c r="F191" s="40"/>
    </row>
    <row r="192" spans="1:6" hidden="1">
      <c r="A192" s="23"/>
      <c r="B192" s="913"/>
      <c r="C192" s="23"/>
      <c r="D192" s="1162"/>
      <c r="E192" s="40"/>
      <c r="F192" s="40"/>
    </row>
    <row r="193" spans="1:6" hidden="1">
      <c r="A193" s="23"/>
      <c r="B193" s="913"/>
      <c r="C193" s="23"/>
      <c r="D193" s="1162"/>
      <c r="E193" s="40"/>
      <c r="F193" s="40"/>
    </row>
    <row r="194" spans="1:6" hidden="1">
      <c r="A194" s="23"/>
      <c r="B194" s="913"/>
      <c r="C194" s="23"/>
      <c r="D194" s="1162"/>
      <c r="E194" s="40"/>
      <c r="F194" s="40"/>
    </row>
    <row r="195" spans="1:6" hidden="1">
      <c r="A195" s="23"/>
      <c r="B195" s="913"/>
      <c r="C195" s="23"/>
      <c r="D195" s="1162"/>
      <c r="E195" s="40"/>
      <c r="F195" s="40"/>
    </row>
    <row r="196" spans="1:6" hidden="1">
      <c r="A196" s="23"/>
      <c r="B196" s="913"/>
      <c r="C196" s="23"/>
      <c r="D196" s="1162"/>
      <c r="E196" s="40"/>
      <c r="F196" s="40"/>
    </row>
    <row r="197" spans="1:6" hidden="1">
      <c r="A197" s="23"/>
      <c r="B197" s="913"/>
      <c r="C197" s="23"/>
      <c r="D197" s="1162"/>
      <c r="E197" s="40"/>
      <c r="F197" s="40"/>
    </row>
    <row r="198" spans="1:6" hidden="1">
      <c r="A198" s="23"/>
      <c r="B198" s="913"/>
      <c r="C198" s="23"/>
      <c r="D198" s="1162"/>
      <c r="E198" s="40"/>
      <c r="F198" s="40"/>
    </row>
    <row r="199" spans="1:6" hidden="1">
      <c r="A199" s="23"/>
      <c r="B199" s="913"/>
      <c r="C199" s="23"/>
      <c r="D199" s="1162"/>
      <c r="E199" s="40"/>
      <c r="F199" s="40"/>
    </row>
    <row r="200" spans="1:6" hidden="1">
      <c r="A200" s="23"/>
      <c r="B200" s="913"/>
      <c r="C200" s="23"/>
      <c r="D200" s="1162"/>
      <c r="E200" s="40"/>
      <c r="F200" s="40"/>
    </row>
    <row r="201" spans="1:6" hidden="1">
      <c r="A201" s="23"/>
      <c r="B201" s="913"/>
      <c r="C201" s="23"/>
      <c r="D201" s="1162"/>
      <c r="E201" s="40"/>
      <c r="F201" s="40"/>
    </row>
    <row r="202" spans="1:6" hidden="1">
      <c r="A202" s="23"/>
      <c r="B202" s="913"/>
      <c r="C202" s="23"/>
      <c r="D202" s="1162"/>
      <c r="E202" s="40"/>
      <c r="F202" s="40"/>
    </row>
    <row r="203" spans="1:6" hidden="1">
      <c r="A203" s="23"/>
      <c r="B203" s="913"/>
      <c r="C203" s="23"/>
      <c r="D203" s="1162"/>
      <c r="E203" s="40"/>
      <c r="F203" s="40"/>
    </row>
    <row r="204" spans="1:6" hidden="1">
      <c r="A204" s="23"/>
      <c r="B204" s="913"/>
      <c r="C204" s="23"/>
      <c r="D204" s="1162"/>
      <c r="E204" s="40"/>
      <c r="F204" s="40"/>
    </row>
    <row r="205" spans="1:6" hidden="1">
      <c r="A205" s="23"/>
      <c r="B205" s="913"/>
      <c r="C205" s="23"/>
      <c r="D205" s="1162"/>
      <c r="E205" s="40"/>
      <c r="F205" s="40"/>
    </row>
    <row r="206" spans="1:6" hidden="1">
      <c r="A206" s="23"/>
      <c r="B206" s="913"/>
      <c r="C206" s="23"/>
      <c r="D206" s="1162"/>
      <c r="E206" s="40"/>
      <c r="F206" s="40"/>
    </row>
    <row r="207" spans="1:6" hidden="1">
      <c r="A207" s="23"/>
      <c r="B207" s="913"/>
      <c r="C207" s="23"/>
      <c r="D207" s="1162"/>
      <c r="E207" s="40"/>
      <c r="F207" s="40"/>
    </row>
    <row r="208" spans="1:6" hidden="1">
      <c r="A208" s="23"/>
      <c r="B208" s="913"/>
      <c r="C208" s="23"/>
      <c r="D208" s="1162"/>
      <c r="E208" s="40"/>
      <c r="F208" s="40"/>
    </row>
    <row r="209" spans="1:6" hidden="1">
      <c r="A209" s="23"/>
      <c r="B209" s="913"/>
      <c r="C209" s="23"/>
      <c r="D209" s="1162"/>
      <c r="E209" s="40"/>
      <c r="F209" s="40"/>
    </row>
    <row r="210" spans="1:6" hidden="1">
      <c r="A210" s="23"/>
      <c r="B210" s="913"/>
      <c r="C210" s="23"/>
      <c r="D210" s="1162"/>
      <c r="E210" s="40"/>
      <c r="F210" s="40"/>
    </row>
    <row r="211" spans="1:6" hidden="1">
      <c r="A211" s="23"/>
      <c r="B211" s="913"/>
      <c r="C211" s="23"/>
      <c r="D211" s="1162"/>
      <c r="E211" s="40"/>
      <c r="F211" s="40"/>
    </row>
    <row r="212" spans="1:6" hidden="1">
      <c r="A212" s="23"/>
      <c r="B212" s="913"/>
      <c r="C212" s="23"/>
      <c r="D212" s="1162"/>
      <c r="E212" s="40"/>
      <c r="F212" s="40"/>
    </row>
    <row r="213" spans="1:6" hidden="1">
      <c r="A213" s="23"/>
      <c r="B213" s="913"/>
      <c r="C213" s="23"/>
      <c r="D213" s="1162"/>
      <c r="E213" s="40"/>
      <c r="F213" s="40"/>
    </row>
    <row r="214" spans="1:6" hidden="1">
      <c r="A214" s="23"/>
      <c r="B214" s="913"/>
      <c r="C214" s="23"/>
      <c r="D214" s="1162"/>
      <c r="E214" s="40"/>
      <c r="F214" s="40"/>
    </row>
    <row r="215" spans="1:6" hidden="1">
      <c r="A215" s="23"/>
      <c r="B215" s="913"/>
      <c r="C215" s="23"/>
      <c r="D215" s="1162"/>
      <c r="E215" s="40"/>
      <c r="F215" s="40"/>
    </row>
    <row r="216" spans="1:6" hidden="1">
      <c r="A216" s="23"/>
      <c r="B216" s="913"/>
      <c r="C216" s="23"/>
      <c r="D216" s="1162"/>
      <c r="E216" s="40"/>
      <c r="F216" s="40"/>
    </row>
    <row r="217" spans="1:6" hidden="1">
      <c r="A217" s="23"/>
      <c r="B217" s="913"/>
      <c r="C217" s="23"/>
      <c r="D217" s="1162"/>
      <c r="E217" s="40"/>
      <c r="F217" s="40"/>
    </row>
    <row r="218" spans="1:6" hidden="1">
      <c r="A218" s="23"/>
      <c r="B218" s="913"/>
      <c r="C218" s="23"/>
      <c r="D218" s="1162"/>
      <c r="E218" s="40"/>
      <c r="F218" s="40"/>
    </row>
    <row r="219" spans="1:6" hidden="1">
      <c r="A219" s="23"/>
      <c r="B219" s="913"/>
      <c r="C219" s="23"/>
      <c r="D219" s="1162"/>
      <c r="E219" s="40"/>
      <c r="F219" s="40"/>
    </row>
    <row r="220" spans="1:6" hidden="1">
      <c r="A220" s="23"/>
      <c r="B220" s="913"/>
      <c r="C220" s="23"/>
      <c r="D220" s="1162"/>
      <c r="E220" s="40"/>
      <c r="F220" s="40"/>
    </row>
    <row r="221" spans="1:6" hidden="1">
      <c r="A221" s="23"/>
      <c r="B221" s="913"/>
      <c r="C221" s="23"/>
      <c r="D221" s="1162"/>
      <c r="E221" s="40"/>
      <c r="F221" s="40"/>
    </row>
    <row r="222" spans="1:6" hidden="1">
      <c r="A222" s="23"/>
      <c r="B222" s="913"/>
      <c r="C222" s="23"/>
      <c r="D222" s="1162"/>
      <c r="E222" s="40"/>
      <c r="F222" s="40"/>
    </row>
    <row r="223" spans="1:6" hidden="1">
      <c r="A223" s="23"/>
      <c r="B223" s="913"/>
      <c r="C223" s="23"/>
      <c r="D223" s="1162"/>
      <c r="E223" s="40"/>
      <c r="F223" s="40"/>
    </row>
    <row r="224" spans="1:6" hidden="1">
      <c r="A224" s="23"/>
      <c r="B224" s="913"/>
      <c r="C224" s="23"/>
      <c r="D224" s="1162"/>
      <c r="E224" s="40"/>
      <c r="F224" s="40"/>
    </row>
    <row r="225" spans="1:6" hidden="1">
      <c r="A225" s="23"/>
      <c r="B225" s="913"/>
      <c r="C225" s="23"/>
      <c r="D225" s="1162"/>
      <c r="E225" s="40"/>
      <c r="F225" s="40"/>
    </row>
    <row r="226" spans="1:6" hidden="1">
      <c r="A226" s="23"/>
      <c r="B226" s="913"/>
      <c r="C226" s="23"/>
      <c r="D226" s="1162"/>
      <c r="E226" s="40"/>
      <c r="F226" s="40"/>
    </row>
    <row r="227" spans="1:6" hidden="1">
      <c r="A227" s="23"/>
      <c r="B227" s="913"/>
      <c r="C227" s="23"/>
      <c r="D227" s="1162"/>
      <c r="E227" s="40"/>
      <c r="F227" s="40"/>
    </row>
    <row r="228" spans="1:6" hidden="1">
      <c r="A228" s="23"/>
      <c r="B228" s="913"/>
      <c r="C228" s="23"/>
      <c r="D228" s="1162"/>
      <c r="E228" s="40"/>
      <c r="F228" s="40"/>
    </row>
    <row r="229" spans="1:6" hidden="1">
      <c r="A229" s="23"/>
      <c r="B229" s="913"/>
      <c r="C229" s="23"/>
      <c r="D229" s="1162"/>
      <c r="E229" s="40"/>
      <c r="F229" s="40"/>
    </row>
    <row r="230" spans="1:6" hidden="1">
      <c r="A230" s="23"/>
      <c r="B230" s="913"/>
      <c r="C230" s="23"/>
      <c r="D230" s="1162"/>
      <c r="E230" s="40"/>
      <c r="F230" s="40"/>
    </row>
    <row r="231" spans="1:6" hidden="1">
      <c r="A231" s="23"/>
      <c r="B231" s="913"/>
      <c r="C231" s="23"/>
      <c r="D231" s="1162"/>
      <c r="E231" s="40"/>
      <c r="F231" s="40"/>
    </row>
    <row r="232" spans="1:6" hidden="1">
      <c r="A232" s="23"/>
      <c r="B232" s="913"/>
      <c r="C232" s="23"/>
      <c r="D232" s="1162"/>
      <c r="E232" s="40"/>
      <c r="F232" s="40"/>
    </row>
    <row r="233" spans="1:6" hidden="1">
      <c r="A233" s="23"/>
      <c r="B233" s="913"/>
      <c r="C233" s="23"/>
      <c r="D233" s="1162"/>
      <c r="E233" s="40"/>
      <c r="F233" s="40"/>
    </row>
    <row r="234" spans="1:6" hidden="1">
      <c r="A234" s="23"/>
      <c r="B234" s="913"/>
      <c r="C234" s="23"/>
      <c r="D234" s="1162"/>
      <c r="E234" s="40"/>
      <c r="F234" s="40"/>
    </row>
    <row r="235" spans="1:6" hidden="1">
      <c r="A235" s="23"/>
      <c r="B235" s="913"/>
      <c r="C235" s="23"/>
      <c r="D235" s="1162"/>
      <c r="E235" s="40"/>
      <c r="F235" s="40"/>
    </row>
    <row r="236" spans="1:6" hidden="1">
      <c r="A236" s="23"/>
      <c r="B236" s="913"/>
      <c r="C236" s="23"/>
      <c r="D236" s="1162"/>
      <c r="E236" s="40"/>
      <c r="F236" s="40"/>
    </row>
    <row r="237" spans="1:6" hidden="1">
      <c r="A237" s="23"/>
      <c r="B237" s="913"/>
      <c r="C237" s="23"/>
      <c r="D237" s="1162"/>
      <c r="E237" s="40"/>
      <c r="F237" s="40"/>
    </row>
    <row r="238" spans="1:6" hidden="1">
      <c r="A238" s="23"/>
      <c r="B238" s="913"/>
      <c r="C238" s="23"/>
      <c r="D238" s="1162"/>
      <c r="E238" s="40"/>
      <c r="F238" s="40"/>
    </row>
    <row r="239" spans="1:6" hidden="1">
      <c r="A239" s="23"/>
      <c r="B239" s="913"/>
      <c r="C239" s="23"/>
      <c r="D239" s="1162"/>
      <c r="E239" s="40"/>
      <c r="F239" s="40"/>
    </row>
    <row r="240" spans="1:6" hidden="1">
      <c r="A240" s="23"/>
      <c r="B240" s="913"/>
      <c r="C240" s="23"/>
      <c r="D240" s="1162"/>
      <c r="E240" s="40"/>
      <c r="F240" s="40"/>
    </row>
    <row r="241" spans="1:6" hidden="1">
      <c r="A241" s="23"/>
      <c r="B241" s="913"/>
      <c r="C241" s="23"/>
      <c r="D241" s="1162"/>
      <c r="E241" s="40"/>
      <c r="F241" s="40"/>
    </row>
    <row r="242" spans="1:6" hidden="1">
      <c r="A242" s="23"/>
      <c r="B242" s="913"/>
      <c r="C242" s="23"/>
      <c r="D242" s="1162"/>
      <c r="E242" s="40"/>
      <c r="F242" s="40"/>
    </row>
    <row r="243" spans="1:6" hidden="1">
      <c r="A243" s="23"/>
      <c r="B243" s="913"/>
      <c r="C243" s="23"/>
      <c r="D243" s="1162"/>
      <c r="E243" s="40"/>
      <c r="F243" s="40"/>
    </row>
    <row r="244" spans="1:6" hidden="1">
      <c r="A244" s="23"/>
      <c r="B244" s="913"/>
      <c r="C244" s="23"/>
      <c r="D244" s="1162"/>
      <c r="E244" s="40"/>
      <c r="F244" s="40"/>
    </row>
    <row r="245" spans="1:6" hidden="1">
      <c r="A245" s="23"/>
      <c r="B245" s="913"/>
      <c r="C245" s="23"/>
      <c r="D245" s="1162"/>
      <c r="E245" s="40"/>
      <c r="F245" s="40"/>
    </row>
    <row r="246" spans="1:6" hidden="1">
      <c r="A246" s="23"/>
      <c r="B246" s="913"/>
      <c r="C246" s="23"/>
      <c r="D246" s="1162"/>
      <c r="E246" s="40"/>
      <c r="F246" s="40"/>
    </row>
    <row r="247" spans="1:6" hidden="1">
      <c r="A247" s="23"/>
      <c r="B247" s="913"/>
      <c r="C247" s="23"/>
      <c r="D247" s="1162"/>
      <c r="E247" s="40"/>
      <c r="F247" s="40"/>
    </row>
    <row r="248" spans="1:6" hidden="1">
      <c r="A248" s="23"/>
      <c r="B248" s="913"/>
      <c r="C248" s="23"/>
      <c r="D248" s="1162"/>
      <c r="E248" s="40"/>
      <c r="F248" s="40"/>
    </row>
    <row r="249" spans="1:6" hidden="1">
      <c r="A249" s="23"/>
      <c r="B249" s="913"/>
      <c r="C249" s="23"/>
      <c r="D249" s="1162"/>
      <c r="E249" s="40"/>
      <c r="F249" s="40"/>
    </row>
    <row r="250" spans="1:6" hidden="1">
      <c r="A250" s="23"/>
      <c r="B250" s="913"/>
      <c r="C250" s="23"/>
      <c r="D250" s="1162"/>
      <c r="E250" s="40"/>
      <c r="F250" s="40"/>
    </row>
    <row r="251" spans="1:6" hidden="1">
      <c r="A251" s="23"/>
      <c r="B251" s="913"/>
      <c r="C251" s="23"/>
      <c r="D251" s="1162"/>
      <c r="E251" s="40"/>
      <c r="F251" s="40"/>
    </row>
    <row r="252" spans="1:6" hidden="1">
      <c r="A252" s="23"/>
      <c r="B252" s="913"/>
      <c r="C252" s="23"/>
      <c r="D252" s="1162"/>
      <c r="E252" s="40"/>
      <c r="F252" s="40"/>
    </row>
    <row r="253" spans="1:6" hidden="1">
      <c r="A253" s="23"/>
      <c r="B253" s="913"/>
      <c r="C253" s="23"/>
      <c r="D253" s="1162"/>
      <c r="E253" s="40"/>
      <c r="F253" s="40"/>
    </row>
    <row r="254" spans="1:6" hidden="1">
      <c r="A254" s="23"/>
      <c r="B254" s="913"/>
      <c r="C254" s="23"/>
      <c r="D254" s="1162"/>
      <c r="E254" s="40"/>
      <c r="F254" s="40"/>
    </row>
    <row r="255" spans="1:6" hidden="1">
      <c r="A255" s="23"/>
      <c r="B255" s="913"/>
      <c r="C255" s="23"/>
      <c r="D255" s="1162"/>
      <c r="E255" s="40"/>
      <c r="F255" s="40"/>
    </row>
    <row r="256" spans="1:6" hidden="1">
      <c r="A256" s="23"/>
      <c r="B256" s="913"/>
      <c r="C256" s="23"/>
      <c r="D256" s="1162"/>
      <c r="E256" s="40"/>
      <c r="F256" s="40"/>
    </row>
    <row r="257" spans="1:6" hidden="1">
      <c r="A257" s="23"/>
      <c r="B257" s="913"/>
      <c r="C257" s="23"/>
      <c r="D257" s="1162"/>
      <c r="E257" s="40"/>
      <c r="F257" s="40"/>
    </row>
    <row r="258" spans="1:6" hidden="1">
      <c r="A258" s="23"/>
      <c r="B258" s="913"/>
      <c r="C258" s="23"/>
      <c r="D258" s="1162"/>
      <c r="E258" s="40"/>
      <c r="F258" s="40"/>
    </row>
    <row r="259" spans="1:6" hidden="1">
      <c r="A259" s="23"/>
      <c r="B259" s="913"/>
      <c r="C259" s="23"/>
      <c r="D259" s="1162"/>
      <c r="E259" s="40"/>
      <c r="F259" s="40"/>
    </row>
    <row r="260" spans="1:6" hidden="1">
      <c r="A260" s="23"/>
      <c r="B260" s="913"/>
      <c r="C260" s="23"/>
      <c r="D260" s="1162"/>
      <c r="E260" s="40"/>
      <c r="F260" s="40"/>
    </row>
    <row r="261" spans="1:6" hidden="1">
      <c r="A261" s="23"/>
      <c r="B261" s="913"/>
      <c r="C261" s="23"/>
      <c r="D261" s="1162"/>
      <c r="E261" s="40"/>
      <c r="F261" s="40"/>
    </row>
    <row r="262" spans="1:6" hidden="1">
      <c r="A262" s="23"/>
      <c r="B262" s="913"/>
      <c r="C262" s="23"/>
      <c r="D262" s="1162"/>
      <c r="E262" s="40"/>
      <c r="F262" s="40"/>
    </row>
    <row r="263" spans="1:6" hidden="1">
      <c r="A263" s="23"/>
      <c r="B263" s="913"/>
      <c r="C263" s="23"/>
      <c r="D263" s="1162"/>
      <c r="E263" s="40"/>
      <c r="F263" s="40"/>
    </row>
    <row r="264" spans="1:6" hidden="1">
      <c r="A264" s="23"/>
      <c r="B264" s="913"/>
      <c r="C264" s="23"/>
      <c r="D264" s="1162"/>
      <c r="E264" s="40"/>
      <c r="F264" s="40"/>
    </row>
    <row r="265" spans="1:6" hidden="1">
      <c r="A265" s="23"/>
      <c r="B265" s="913"/>
      <c r="C265" s="23"/>
      <c r="D265" s="1162"/>
      <c r="E265" s="40"/>
      <c r="F265" s="40"/>
    </row>
    <row r="266" spans="1:6" hidden="1">
      <c r="A266" s="23"/>
      <c r="B266" s="913"/>
      <c r="C266" s="23"/>
      <c r="D266" s="1162"/>
      <c r="E266" s="40"/>
      <c r="F266" s="40"/>
    </row>
    <row r="267" spans="1:6" hidden="1">
      <c r="A267" s="23"/>
      <c r="B267" s="913"/>
      <c r="C267" s="23"/>
      <c r="D267" s="1162"/>
      <c r="E267" s="40"/>
      <c r="F267" s="40"/>
    </row>
    <row r="268" spans="1:6" hidden="1">
      <c r="A268" s="23"/>
      <c r="B268" s="913"/>
      <c r="C268" s="23"/>
      <c r="D268" s="1162"/>
      <c r="E268" s="40"/>
      <c r="F268" s="40"/>
    </row>
    <row r="269" spans="1:6" hidden="1">
      <c r="A269" s="23"/>
      <c r="B269" s="913"/>
      <c r="C269" s="23"/>
      <c r="D269" s="1162"/>
      <c r="E269" s="40"/>
      <c r="F269" s="40"/>
    </row>
    <row r="270" spans="1:6" hidden="1">
      <c r="A270" s="23"/>
      <c r="B270" s="913"/>
      <c r="C270" s="23"/>
      <c r="D270" s="1162"/>
      <c r="E270" s="40"/>
      <c r="F270" s="40"/>
    </row>
    <row r="271" spans="1:6" hidden="1">
      <c r="A271" s="23"/>
      <c r="B271" s="913"/>
      <c r="C271" s="23"/>
      <c r="D271" s="1162"/>
      <c r="E271" s="40"/>
      <c r="F271" s="40"/>
    </row>
    <row r="272" spans="1:6" hidden="1">
      <c r="A272" s="23"/>
      <c r="B272" s="913"/>
      <c r="C272" s="23"/>
      <c r="D272" s="1162"/>
      <c r="E272" s="40"/>
      <c r="F272" s="40"/>
    </row>
    <row r="273" spans="1:6" hidden="1">
      <c r="A273" s="23"/>
      <c r="B273" s="913"/>
      <c r="C273" s="23"/>
      <c r="D273" s="1162"/>
      <c r="E273" s="40"/>
      <c r="F273" s="40"/>
    </row>
    <row r="274" spans="1:6" hidden="1">
      <c r="A274" s="23"/>
      <c r="B274" s="913"/>
      <c r="C274" s="23"/>
      <c r="D274" s="1162"/>
      <c r="E274" s="40"/>
      <c r="F274" s="40"/>
    </row>
    <row r="275" spans="1:6" hidden="1">
      <c r="A275" s="23"/>
      <c r="B275" s="913"/>
      <c r="C275" s="23"/>
      <c r="D275" s="1162"/>
      <c r="E275" s="40"/>
      <c r="F275" s="40"/>
    </row>
    <row r="276" spans="1:6" hidden="1">
      <c r="A276" s="23"/>
      <c r="B276" s="913"/>
      <c r="C276" s="23"/>
      <c r="D276" s="1162"/>
      <c r="E276" s="40"/>
      <c r="F276" s="40"/>
    </row>
    <row r="277" spans="1:6" hidden="1">
      <c r="A277" s="23"/>
      <c r="B277" s="913"/>
      <c r="C277" s="23"/>
      <c r="D277" s="1162"/>
      <c r="E277" s="40"/>
      <c r="F277" s="40"/>
    </row>
    <row r="278" spans="1:6" hidden="1">
      <c r="A278" s="23"/>
      <c r="B278" s="913"/>
      <c r="C278" s="23"/>
      <c r="D278" s="1162"/>
      <c r="E278" s="40"/>
      <c r="F278" s="40"/>
    </row>
    <row r="279" spans="1:6" hidden="1">
      <c r="A279" s="23"/>
      <c r="B279" s="913"/>
      <c r="C279" s="23"/>
      <c r="D279" s="1162"/>
      <c r="E279" s="40"/>
      <c r="F279" s="40"/>
    </row>
    <row r="280" spans="1:6" hidden="1">
      <c r="A280" s="23"/>
      <c r="B280" s="913"/>
      <c r="C280" s="23"/>
      <c r="D280" s="1162"/>
      <c r="E280" s="40"/>
      <c r="F280" s="40"/>
    </row>
    <row r="281" spans="1:6" hidden="1">
      <c r="A281" s="23"/>
      <c r="B281" s="913"/>
      <c r="C281" s="23"/>
      <c r="D281" s="1162"/>
      <c r="E281" s="40"/>
      <c r="F281" s="40"/>
    </row>
    <row r="282" spans="1:6" hidden="1">
      <c r="A282" s="23"/>
      <c r="B282" s="913"/>
      <c r="C282" s="23"/>
      <c r="D282" s="1162"/>
      <c r="E282" s="40"/>
      <c r="F282" s="40"/>
    </row>
    <row r="283" spans="1:6" hidden="1">
      <c r="A283" s="23"/>
      <c r="B283" s="913"/>
      <c r="C283" s="23"/>
      <c r="D283" s="1162"/>
      <c r="E283" s="40"/>
      <c r="F283" s="40"/>
    </row>
    <row r="284" spans="1:6" hidden="1">
      <c r="A284" s="23"/>
      <c r="B284" s="913"/>
      <c r="C284" s="23"/>
      <c r="D284" s="1162"/>
      <c r="E284" s="40"/>
      <c r="F284" s="40"/>
    </row>
    <row r="285" spans="1:6" hidden="1">
      <c r="A285" s="23"/>
      <c r="B285" s="913"/>
      <c r="C285" s="23"/>
      <c r="D285" s="1162"/>
      <c r="E285" s="40"/>
      <c r="F285" s="40"/>
    </row>
    <row r="286" spans="1:6" hidden="1">
      <c r="A286" s="23"/>
      <c r="B286" s="913"/>
      <c r="C286" s="23"/>
      <c r="D286" s="1162"/>
      <c r="E286" s="40"/>
      <c r="F286" s="40"/>
    </row>
    <row r="287" spans="1:6" hidden="1">
      <c r="A287" s="23"/>
      <c r="B287" s="913"/>
      <c r="C287" s="23"/>
      <c r="D287" s="1162"/>
      <c r="E287" s="40"/>
      <c r="F287" s="40"/>
    </row>
    <row r="288" spans="1:6" hidden="1">
      <c r="A288" s="23"/>
      <c r="B288" s="913"/>
      <c r="C288" s="23"/>
      <c r="D288" s="1162"/>
      <c r="E288" s="40"/>
      <c r="F288" s="40"/>
    </row>
    <row r="289" spans="1:6" hidden="1">
      <c r="A289" s="23"/>
      <c r="B289" s="913"/>
      <c r="C289" s="23"/>
      <c r="D289" s="1162"/>
      <c r="E289" s="40"/>
      <c r="F289" s="40"/>
    </row>
    <row r="290" spans="1:6" hidden="1">
      <c r="A290" s="23"/>
      <c r="B290" s="913"/>
      <c r="C290" s="23"/>
      <c r="D290" s="1162"/>
      <c r="E290" s="40"/>
      <c r="F290" s="40"/>
    </row>
    <row r="291" spans="1:6" hidden="1">
      <c r="A291" s="23"/>
      <c r="B291" s="913"/>
      <c r="C291" s="23"/>
      <c r="D291" s="1162"/>
      <c r="E291" s="40"/>
      <c r="F291" s="40"/>
    </row>
    <row r="292" spans="1:6" hidden="1">
      <c r="A292" s="23"/>
      <c r="B292" s="913"/>
      <c r="C292" s="23"/>
      <c r="D292" s="1162"/>
      <c r="E292" s="40"/>
      <c r="F292" s="40"/>
    </row>
    <row r="293" spans="1:6" hidden="1">
      <c r="A293" s="23"/>
      <c r="B293" s="913"/>
      <c r="C293" s="23"/>
      <c r="D293" s="1162"/>
      <c r="E293" s="40"/>
      <c r="F293" s="40"/>
    </row>
    <row r="294" spans="1:6" hidden="1">
      <c r="A294" s="23"/>
      <c r="B294" s="913"/>
      <c r="C294" s="23"/>
      <c r="D294" s="1162"/>
      <c r="E294" s="40"/>
      <c r="F294" s="40"/>
    </row>
    <row r="295" spans="1:6" hidden="1">
      <c r="A295" s="23"/>
      <c r="B295" s="913"/>
      <c r="C295" s="23"/>
      <c r="D295" s="1162"/>
      <c r="E295" s="40"/>
      <c r="F295" s="40"/>
    </row>
    <row r="296" spans="1:6" hidden="1">
      <c r="A296" s="23"/>
      <c r="B296" s="913"/>
      <c r="C296" s="23"/>
      <c r="D296" s="1162"/>
      <c r="E296" s="40"/>
      <c r="F296" s="40"/>
    </row>
    <row r="297" spans="1:6" hidden="1">
      <c r="A297" s="23"/>
      <c r="B297" s="913"/>
      <c r="C297" s="23"/>
      <c r="D297" s="1162"/>
      <c r="E297" s="40"/>
      <c r="F297" s="40"/>
    </row>
    <row r="298" spans="1:6" hidden="1">
      <c r="A298" s="23"/>
      <c r="B298" s="913"/>
      <c r="C298" s="23"/>
      <c r="D298" s="1162"/>
      <c r="E298" s="40"/>
      <c r="F298" s="40"/>
    </row>
    <row r="299" spans="1:6" hidden="1">
      <c r="A299" s="23"/>
      <c r="B299" s="913"/>
      <c r="C299" s="23"/>
      <c r="D299" s="1162"/>
      <c r="E299" s="40"/>
      <c r="F299" s="40"/>
    </row>
    <row r="300" spans="1:6" hidden="1">
      <c r="A300" s="23"/>
      <c r="B300" s="913"/>
      <c r="C300" s="23"/>
      <c r="D300" s="1162"/>
      <c r="E300" s="40"/>
      <c r="F300" s="40"/>
    </row>
    <row r="301" spans="1:6" hidden="1">
      <c r="A301" s="23"/>
      <c r="B301" s="913"/>
      <c r="C301" s="23"/>
      <c r="D301" s="1162"/>
      <c r="E301" s="40"/>
      <c r="F301" s="40"/>
    </row>
    <row r="302" spans="1:6" hidden="1">
      <c r="A302" s="23"/>
      <c r="B302" s="913"/>
      <c r="C302" s="23"/>
      <c r="D302" s="1162"/>
      <c r="E302" s="40"/>
      <c r="F302" s="40"/>
    </row>
    <row r="303" spans="1:6" hidden="1">
      <c r="A303" s="23"/>
      <c r="B303" s="913"/>
      <c r="C303" s="23"/>
      <c r="D303" s="1162"/>
      <c r="E303" s="40"/>
      <c r="F303" s="40"/>
    </row>
    <row r="304" spans="1:6" hidden="1">
      <c r="A304" s="23"/>
      <c r="B304" s="913"/>
      <c r="C304" s="23"/>
      <c r="D304" s="1162"/>
      <c r="E304" s="40"/>
      <c r="F304" s="40"/>
    </row>
    <row r="305" spans="1:6" hidden="1">
      <c r="A305" s="23"/>
      <c r="B305" s="913"/>
      <c r="C305" s="23"/>
      <c r="D305" s="1162"/>
      <c r="E305" s="40"/>
      <c r="F305" s="40"/>
    </row>
    <row r="306" spans="1:6" hidden="1">
      <c r="A306" s="23"/>
      <c r="B306" s="913"/>
      <c r="C306" s="23"/>
      <c r="D306" s="1162"/>
      <c r="E306" s="40"/>
      <c r="F306" s="40"/>
    </row>
    <row r="307" spans="1:6" hidden="1">
      <c r="A307" s="23"/>
      <c r="B307" s="913"/>
      <c r="C307" s="23"/>
      <c r="D307" s="1162"/>
      <c r="E307" s="40"/>
      <c r="F307" s="40"/>
    </row>
    <row r="308" spans="1:6" hidden="1">
      <c r="A308" s="23"/>
      <c r="B308" s="913"/>
      <c r="C308" s="23"/>
      <c r="D308" s="1162"/>
      <c r="E308" s="40"/>
      <c r="F308" s="40"/>
    </row>
    <row r="309" spans="1:6" hidden="1">
      <c r="A309" s="23"/>
      <c r="B309" s="913"/>
      <c r="C309" s="23"/>
      <c r="D309" s="1162"/>
      <c r="E309" s="40"/>
      <c r="F309" s="40"/>
    </row>
    <row r="310" spans="1:6" hidden="1">
      <c r="A310" s="23"/>
      <c r="B310" s="913"/>
      <c r="C310" s="23"/>
      <c r="D310" s="1162"/>
      <c r="E310" s="40"/>
      <c r="F310" s="40"/>
    </row>
    <row r="311" spans="1:6" hidden="1">
      <c r="A311" s="23"/>
      <c r="B311" s="913"/>
      <c r="C311" s="23"/>
      <c r="D311" s="1162"/>
      <c r="E311" s="40"/>
      <c r="F311" s="40"/>
    </row>
    <row r="312" spans="1:6" hidden="1">
      <c r="A312" s="23"/>
      <c r="B312" s="913"/>
      <c r="C312" s="23"/>
      <c r="D312" s="1162"/>
      <c r="E312" s="40"/>
      <c r="F312" s="40"/>
    </row>
    <row r="313" spans="1:6" hidden="1">
      <c r="A313" s="23"/>
      <c r="B313" s="913"/>
      <c r="C313" s="23"/>
      <c r="D313" s="1162"/>
      <c r="E313" s="40"/>
      <c r="F313" s="40"/>
    </row>
    <row r="314" spans="1:6" hidden="1">
      <c r="A314" s="23"/>
      <c r="B314" s="913"/>
      <c r="C314" s="23"/>
      <c r="D314" s="1162"/>
      <c r="E314" s="40"/>
      <c r="F314" s="40"/>
    </row>
    <row r="315" spans="1:6" hidden="1">
      <c r="A315" s="23"/>
      <c r="B315" s="913"/>
      <c r="C315" s="23"/>
      <c r="D315" s="1162"/>
      <c r="E315" s="40"/>
      <c r="F315" s="40"/>
    </row>
    <row r="316" spans="1:6" hidden="1">
      <c r="A316" s="23"/>
      <c r="B316" s="913"/>
      <c r="C316" s="23"/>
      <c r="D316" s="1162"/>
      <c r="E316" s="40"/>
      <c r="F316" s="40"/>
    </row>
    <row r="317" spans="1:6" hidden="1">
      <c r="A317" s="23"/>
      <c r="B317" s="913"/>
      <c r="C317" s="23"/>
      <c r="D317" s="1162"/>
      <c r="E317" s="40"/>
      <c r="F317" s="40"/>
    </row>
    <row r="318" spans="1:6" hidden="1">
      <c r="A318" s="23"/>
      <c r="B318" s="913"/>
      <c r="C318" s="23"/>
      <c r="D318" s="1162"/>
      <c r="E318" s="40"/>
      <c r="F318" s="40"/>
    </row>
    <row r="319" spans="1:6" hidden="1">
      <c r="A319" s="23"/>
      <c r="B319" s="913"/>
      <c r="C319" s="23"/>
      <c r="D319" s="1162"/>
      <c r="E319" s="40"/>
      <c r="F319" s="40"/>
    </row>
    <row r="320" spans="1:6" hidden="1">
      <c r="A320" s="23"/>
      <c r="B320" s="913"/>
      <c r="C320" s="23"/>
      <c r="D320" s="1162"/>
      <c r="E320" s="40"/>
      <c r="F320" s="40"/>
    </row>
    <row r="321" spans="1:6" hidden="1">
      <c r="A321" s="23"/>
      <c r="B321" s="913"/>
      <c r="C321" s="23"/>
      <c r="D321" s="1162"/>
      <c r="E321" s="40"/>
      <c r="F321" s="40"/>
    </row>
    <row r="322" spans="1:6" hidden="1">
      <c r="A322" s="23"/>
      <c r="B322" s="913"/>
      <c r="C322" s="23"/>
      <c r="D322" s="1162"/>
      <c r="E322" s="40"/>
      <c r="F322" s="40"/>
    </row>
    <row r="323" spans="1:6" hidden="1">
      <c r="A323" s="23"/>
      <c r="B323" s="913"/>
      <c r="C323" s="23"/>
      <c r="D323" s="1162"/>
      <c r="E323" s="40"/>
      <c r="F323" s="40"/>
    </row>
    <row r="324" spans="1:6" hidden="1">
      <c r="A324" s="23"/>
      <c r="B324" s="913"/>
      <c r="C324" s="23"/>
      <c r="D324" s="1162"/>
      <c r="E324" s="40"/>
      <c r="F324" s="40"/>
    </row>
    <row r="325" spans="1:6" hidden="1">
      <c r="A325" s="23"/>
      <c r="B325" s="913"/>
      <c r="C325" s="23"/>
      <c r="D325" s="1162"/>
      <c r="E325" s="40"/>
      <c r="F325" s="40"/>
    </row>
    <row r="326" spans="1:6" hidden="1">
      <c r="A326" s="23"/>
      <c r="B326" s="913"/>
      <c r="C326" s="23"/>
      <c r="D326" s="1162"/>
      <c r="E326" s="40"/>
      <c r="F326" s="40"/>
    </row>
    <row r="327" spans="1:6" hidden="1">
      <c r="A327" s="23"/>
      <c r="B327" s="913"/>
      <c r="C327" s="23"/>
      <c r="D327" s="1162"/>
      <c r="E327" s="40"/>
      <c r="F327" s="40"/>
    </row>
    <row r="328" spans="1:6" hidden="1">
      <c r="A328" s="23"/>
      <c r="B328" s="913"/>
      <c r="C328" s="23"/>
      <c r="D328" s="1162"/>
      <c r="E328" s="40"/>
      <c r="F328" s="40"/>
    </row>
    <row r="329" spans="1:6" hidden="1">
      <c r="A329" s="23"/>
      <c r="B329" s="913"/>
      <c r="C329" s="23"/>
      <c r="D329" s="1162"/>
      <c r="E329" s="40"/>
      <c r="F329" s="40"/>
    </row>
    <row r="330" spans="1:6" hidden="1">
      <c r="A330" s="23"/>
      <c r="B330" s="913"/>
      <c r="C330" s="23"/>
      <c r="D330" s="1162"/>
      <c r="E330" s="40"/>
      <c r="F330" s="40"/>
    </row>
    <row r="331" spans="1:6" hidden="1">
      <c r="A331" s="23"/>
      <c r="B331" s="913"/>
      <c r="C331" s="23"/>
      <c r="D331" s="1162"/>
      <c r="E331" s="40"/>
      <c r="F331" s="40"/>
    </row>
    <row r="332" spans="1:6" hidden="1">
      <c r="A332" s="23"/>
      <c r="B332" s="913"/>
      <c r="C332" s="23"/>
      <c r="D332" s="1162"/>
      <c r="E332" s="40"/>
      <c r="F332" s="40"/>
    </row>
    <row r="333" spans="1:6" hidden="1">
      <c r="A333" s="23"/>
      <c r="B333" s="913"/>
      <c r="C333" s="23"/>
      <c r="D333" s="1162"/>
      <c r="E333" s="40"/>
      <c r="F333" s="40"/>
    </row>
    <row r="334" spans="1:6" hidden="1">
      <c r="A334" s="23"/>
      <c r="B334" s="913"/>
      <c r="C334" s="23"/>
      <c r="D334" s="1162"/>
      <c r="E334" s="40"/>
      <c r="F334" s="40"/>
    </row>
    <row r="335" spans="1:6" hidden="1">
      <c r="A335" s="23"/>
      <c r="B335" s="913"/>
      <c r="C335" s="23"/>
      <c r="D335" s="1162"/>
      <c r="E335" s="40"/>
      <c r="F335" s="40"/>
    </row>
    <row r="336" spans="1:6" hidden="1">
      <c r="A336" s="23"/>
      <c r="B336" s="913"/>
      <c r="C336" s="23"/>
      <c r="D336" s="1162"/>
      <c r="E336" s="40"/>
      <c r="F336" s="40"/>
    </row>
    <row r="337" spans="1:6" hidden="1">
      <c r="A337" s="23"/>
      <c r="B337" s="913"/>
      <c r="C337" s="23"/>
      <c r="D337" s="1162"/>
      <c r="E337" s="40"/>
      <c r="F337" s="40"/>
    </row>
    <row r="338" spans="1:6" hidden="1">
      <c r="A338" s="23"/>
      <c r="B338" s="913"/>
      <c r="C338" s="23"/>
      <c r="D338" s="1162"/>
      <c r="E338" s="40"/>
      <c r="F338" s="40"/>
    </row>
    <row r="339" spans="1:6" hidden="1">
      <c r="A339" s="23"/>
      <c r="B339" s="913"/>
      <c r="C339" s="23"/>
      <c r="D339" s="1162"/>
      <c r="E339" s="40"/>
      <c r="F339" s="40"/>
    </row>
    <row r="340" spans="1:6" hidden="1">
      <c r="A340" s="23"/>
      <c r="B340" s="913"/>
      <c r="C340" s="23"/>
      <c r="D340" s="1162"/>
      <c r="E340" s="40"/>
      <c r="F340" s="40"/>
    </row>
    <row r="341" spans="1:6" hidden="1">
      <c r="A341" s="23"/>
      <c r="B341" s="913"/>
      <c r="C341" s="23"/>
      <c r="D341" s="1162"/>
      <c r="E341" s="40"/>
      <c r="F341" s="40"/>
    </row>
    <row r="342" spans="1:6" hidden="1">
      <c r="A342" s="23"/>
      <c r="B342" s="913"/>
      <c r="C342" s="23"/>
      <c r="D342" s="1162"/>
      <c r="E342" s="40"/>
      <c r="F342" s="40"/>
    </row>
    <row r="343" spans="1:6" hidden="1">
      <c r="A343" s="23"/>
      <c r="B343" s="913"/>
      <c r="C343" s="23"/>
      <c r="D343" s="1162"/>
      <c r="E343" s="40"/>
      <c r="F343" s="40"/>
    </row>
    <row r="344" spans="1:6" hidden="1">
      <c r="A344" s="23"/>
      <c r="B344" s="913"/>
      <c r="C344" s="23"/>
      <c r="D344" s="1162"/>
      <c r="E344" s="40"/>
      <c r="F344" s="40"/>
    </row>
    <row r="345" spans="1:6" hidden="1">
      <c r="A345" s="23"/>
      <c r="B345" s="913"/>
      <c r="C345" s="23"/>
      <c r="D345" s="1162"/>
      <c r="E345" s="40"/>
      <c r="F345" s="40"/>
    </row>
    <row r="346" spans="1:6" hidden="1">
      <c r="A346" s="23"/>
      <c r="B346" s="913"/>
      <c r="C346" s="23"/>
      <c r="D346" s="1162"/>
      <c r="E346" s="40"/>
      <c r="F346" s="40"/>
    </row>
    <row r="347" spans="1:6" hidden="1">
      <c r="A347" s="23"/>
      <c r="B347" s="913"/>
      <c r="C347" s="23"/>
      <c r="D347" s="1162"/>
      <c r="E347" s="40"/>
      <c r="F347" s="40"/>
    </row>
    <row r="348" spans="1:6" hidden="1">
      <c r="A348" s="23"/>
      <c r="B348" s="913"/>
      <c r="C348" s="23"/>
      <c r="D348" s="1162"/>
      <c r="E348" s="40"/>
      <c r="F348" s="40"/>
    </row>
    <row r="349" spans="1:6" hidden="1">
      <c r="A349" s="23"/>
      <c r="B349" s="913"/>
      <c r="C349" s="23"/>
      <c r="D349" s="1162"/>
      <c r="E349" s="40"/>
      <c r="F349" s="40"/>
    </row>
    <row r="350" spans="1:6" hidden="1">
      <c r="A350" s="23"/>
      <c r="B350" s="913"/>
      <c r="C350" s="23"/>
      <c r="D350" s="1162"/>
      <c r="E350" s="40"/>
      <c r="F350" s="40"/>
    </row>
    <row r="351" spans="1:6" hidden="1">
      <c r="A351" s="23"/>
      <c r="B351" s="913"/>
      <c r="C351" s="23"/>
      <c r="D351" s="1162"/>
      <c r="E351" s="40"/>
      <c r="F351" s="40"/>
    </row>
    <row r="352" spans="1:6" hidden="1">
      <c r="A352" s="23"/>
      <c r="B352" s="913"/>
      <c r="C352" s="23"/>
      <c r="D352" s="1162"/>
      <c r="E352" s="40"/>
      <c r="F352" s="40"/>
    </row>
    <row r="353" spans="1:6" hidden="1">
      <c r="A353" s="23"/>
      <c r="B353" s="913"/>
      <c r="C353" s="23"/>
      <c r="D353" s="1162"/>
      <c r="E353" s="40"/>
      <c r="F353" s="40"/>
    </row>
    <row r="354" spans="1:6" hidden="1">
      <c r="A354" s="23"/>
      <c r="B354" s="913"/>
      <c r="C354" s="23"/>
      <c r="D354" s="1162"/>
      <c r="E354" s="40"/>
      <c r="F354" s="40"/>
    </row>
    <row r="355" spans="1:6" hidden="1">
      <c r="A355" s="23"/>
      <c r="B355" s="913"/>
      <c r="C355" s="23"/>
      <c r="D355" s="1162"/>
      <c r="E355" s="40"/>
      <c r="F355" s="40"/>
    </row>
    <row r="356" spans="1:6" hidden="1">
      <c r="A356" s="23"/>
      <c r="B356" s="913"/>
      <c r="C356" s="23"/>
      <c r="D356" s="1162"/>
      <c r="E356" s="40"/>
      <c r="F356" s="40"/>
    </row>
    <row r="357" spans="1:6" hidden="1">
      <c r="A357" s="23"/>
      <c r="B357" s="913"/>
      <c r="C357" s="23"/>
      <c r="D357" s="1162"/>
      <c r="E357" s="40"/>
      <c r="F357" s="40"/>
    </row>
    <row r="358" spans="1:6" hidden="1">
      <c r="A358" s="23"/>
      <c r="B358" s="913"/>
      <c r="C358" s="23"/>
      <c r="D358" s="1162"/>
      <c r="E358" s="40"/>
      <c r="F358" s="40"/>
    </row>
    <row r="359" spans="1:6" hidden="1">
      <c r="A359" s="23"/>
      <c r="B359" s="913"/>
      <c r="C359" s="23"/>
      <c r="D359" s="1162"/>
      <c r="E359" s="40"/>
      <c r="F359" s="40"/>
    </row>
    <row r="360" spans="1:6" hidden="1">
      <c r="A360" s="23"/>
      <c r="B360" s="913"/>
      <c r="C360" s="23"/>
      <c r="D360" s="1162"/>
      <c r="E360" s="40"/>
      <c r="F360" s="40"/>
    </row>
    <row r="361" spans="1:6" hidden="1">
      <c r="A361" s="23"/>
      <c r="B361" s="913"/>
      <c r="C361" s="23"/>
      <c r="D361" s="1162"/>
      <c r="E361" s="40"/>
      <c r="F361" s="40"/>
    </row>
    <row r="362" spans="1:6" hidden="1">
      <c r="A362" s="23"/>
      <c r="B362" s="913"/>
      <c r="C362" s="23"/>
      <c r="D362" s="1162"/>
      <c r="E362" s="40"/>
      <c r="F362" s="40"/>
    </row>
    <row r="363" spans="1:6" hidden="1">
      <c r="A363" s="23"/>
      <c r="B363" s="913"/>
      <c r="C363" s="23"/>
      <c r="D363" s="1162"/>
      <c r="E363" s="40"/>
      <c r="F363" s="40"/>
    </row>
    <row r="364" spans="1:6" hidden="1">
      <c r="A364" s="23"/>
      <c r="B364" s="913"/>
      <c r="C364" s="23"/>
      <c r="D364" s="1162"/>
      <c r="E364" s="40"/>
      <c r="F364" s="40"/>
    </row>
    <row r="365" spans="1:6" hidden="1">
      <c r="A365" s="23"/>
      <c r="B365" s="913"/>
      <c r="C365" s="23"/>
      <c r="D365" s="1162"/>
      <c r="E365" s="40"/>
      <c r="F365" s="40"/>
    </row>
    <row r="366" spans="1:6" hidden="1">
      <c r="A366" s="23"/>
      <c r="B366" s="913"/>
      <c r="C366" s="23"/>
      <c r="D366" s="1162"/>
      <c r="E366" s="40"/>
      <c r="F366" s="40"/>
    </row>
    <row r="367" spans="1:6" hidden="1">
      <c r="A367" s="23"/>
      <c r="B367" s="913"/>
      <c r="C367" s="23"/>
      <c r="D367" s="1162"/>
      <c r="E367" s="40"/>
      <c r="F367" s="40"/>
    </row>
    <row r="368" spans="1:6" hidden="1">
      <c r="A368" s="23"/>
      <c r="B368" s="913"/>
      <c r="C368" s="23"/>
      <c r="D368" s="1162"/>
      <c r="E368" s="40"/>
      <c r="F368" s="40"/>
    </row>
    <row r="369" spans="1:6" hidden="1">
      <c r="A369" s="23"/>
      <c r="B369" s="913"/>
      <c r="C369" s="23"/>
      <c r="D369" s="1162"/>
      <c r="E369" s="40"/>
      <c r="F369" s="40"/>
    </row>
    <row r="370" spans="1:6" hidden="1">
      <c r="A370" s="23"/>
      <c r="B370" s="913"/>
      <c r="C370" s="23"/>
      <c r="D370" s="1162"/>
      <c r="E370" s="40"/>
      <c r="F370" s="40"/>
    </row>
    <row r="371" spans="1:6" hidden="1">
      <c r="A371" s="23"/>
      <c r="B371" s="913"/>
      <c r="C371" s="23"/>
      <c r="D371" s="1162"/>
      <c r="E371" s="40"/>
      <c r="F371" s="40"/>
    </row>
    <row r="372" spans="1:6" hidden="1">
      <c r="A372" s="23"/>
      <c r="B372" s="913"/>
      <c r="C372" s="23"/>
      <c r="D372" s="1162"/>
      <c r="E372" s="40"/>
      <c r="F372" s="40"/>
    </row>
    <row r="373" spans="1:6" hidden="1">
      <c r="A373" s="23"/>
      <c r="B373" s="913"/>
      <c r="C373" s="23"/>
      <c r="D373" s="1162"/>
      <c r="E373" s="40"/>
      <c r="F373" s="40"/>
    </row>
    <row r="374" spans="1:6" hidden="1">
      <c r="A374" s="23"/>
      <c r="B374" s="913"/>
      <c r="C374" s="23"/>
      <c r="D374" s="1162"/>
      <c r="E374" s="40"/>
      <c r="F374" s="40"/>
    </row>
    <row r="375" spans="1:6" hidden="1">
      <c r="A375" s="23"/>
      <c r="B375" s="913"/>
      <c r="C375" s="23"/>
      <c r="D375" s="1162"/>
      <c r="E375" s="40"/>
      <c r="F375" s="40"/>
    </row>
    <row r="376" spans="1:6" hidden="1">
      <c r="A376" s="23"/>
      <c r="B376" s="913"/>
      <c r="C376" s="23"/>
      <c r="D376" s="1162"/>
      <c r="E376" s="40"/>
      <c r="F376" s="40"/>
    </row>
    <row r="377" spans="1:6" hidden="1">
      <c r="A377" s="23"/>
      <c r="B377" s="913"/>
      <c r="C377" s="23"/>
      <c r="D377" s="1162"/>
      <c r="E377" s="40"/>
      <c r="F377" s="40"/>
    </row>
    <row r="378" spans="1:6" hidden="1">
      <c r="A378" s="23"/>
      <c r="B378" s="913"/>
      <c r="C378" s="23"/>
      <c r="D378" s="1162"/>
      <c r="E378" s="40"/>
      <c r="F378" s="40"/>
    </row>
    <row r="379" spans="1:6" hidden="1">
      <c r="A379" s="23"/>
      <c r="B379" s="913"/>
      <c r="C379" s="23"/>
      <c r="D379" s="1162"/>
      <c r="E379" s="40"/>
      <c r="F379" s="40"/>
    </row>
    <row r="380" spans="1:6" hidden="1">
      <c r="A380" s="23"/>
      <c r="B380" s="913"/>
      <c r="C380" s="23"/>
      <c r="D380" s="1162"/>
      <c r="E380" s="40"/>
      <c r="F380" s="40"/>
    </row>
    <row r="381" spans="1:6" hidden="1">
      <c r="A381" s="23"/>
      <c r="B381" s="913"/>
      <c r="C381" s="23"/>
      <c r="D381" s="1162"/>
      <c r="E381" s="40"/>
      <c r="F381" s="40"/>
    </row>
    <row r="382" spans="1:6" hidden="1">
      <c r="A382" s="23"/>
      <c r="B382" s="913"/>
      <c r="C382" s="23"/>
      <c r="D382" s="1162"/>
      <c r="E382" s="40"/>
      <c r="F382" s="40"/>
    </row>
    <row r="383" spans="1:6" hidden="1">
      <c r="A383" s="23"/>
      <c r="B383" s="913"/>
      <c r="C383" s="23"/>
      <c r="D383" s="1162"/>
      <c r="E383" s="40"/>
      <c r="F383" s="40"/>
    </row>
    <row r="384" spans="1:6" hidden="1">
      <c r="A384" s="23"/>
      <c r="B384" s="913"/>
      <c r="C384" s="23"/>
      <c r="D384" s="1162"/>
      <c r="E384" s="40"/>
      <c r="F384" s="40"/>
    </row>
    <row r="385" spans="1:6" hidden="1">
      <c r="A385" s="23"/>
      <c r="B385" s="913"/>
      <c r="C385" s="23"/>
      <c r="D385" s="1162"/>
      <c r="E385" s="40"/>
      <c r="F385" s="40"/>
    </row>
    <row r="386" spans="1:6" hidden="1">
      <c r="A386" s="23"/>
      <c r="B386" s="913"/>
      <c r="C386" s="23"/>
      <c r="D386" s="1162"/>
      <c r="E386" s="40"/>
      <c r="F386" s="40"/>
    </row>
    <row r="387" spans="1:6" hidden="1">
      <c r="A387" s="23"/>
      <c r="B387" s="913"/>
      <c r="C387" s="23"/>
      <c r="D387" s="1162"/>
      <c r="E387" s="40"/>
      <c r="F387" s="40"/>
    </row>
    <row r="388" spans="1:6" hidden="1">
      <c r="A388" s="23"/>
      <c r="B388" s="913"/>
      <c r="C388" s="23"/>
      <c r="D388" s="1162"/>
      <c r="E388" s="40"/>
      <c r="F388" s="40"/>
    </row>
    <row r="389" spans="1:6" hidden="1">
      <c r="A389" s="23"/>
      <c r="B389" s="913"/>
      <c r="C389" s="23"/>
      <c r="D389" s="1162"/>
      <c r="E389" s="40"/>
      <c r="F389" s="40"/>
    </row>
    <row r="390" spans="1:6" hidden="1">
      <c r="A390" s="23"/>
      <c r="B390" s="913"/>
      <c r="C390" s="23"/>
      <c r="D390" s="1162"/>
      <c r="E390" s="40"/>
      <c r="F390" s="40"/>
    </row>
    <row r="391" spans="1:6" hidden="1">
      <c r="A391" s="23"/>
      <c r="B391" s="913"/>
      <c r="C391" s="23"/>
      <c r="D391" s="1162"/>
      <c r="E391" s="40"/>
      <c r="F391" s="40"/>
    </row>
    <row r="392" spans="1:6" hidden="1">
      <c r="A392" s="23"/>
      <c r="B392" s="913"/>
      <c r="C392" s="23"/>
      <c r="D392" s="1162"/>
      <c r="E392" s="40"/>
      <c r="F392" s="40"/>
    </row>
    <row r="393" spans="1:6" hidden="1">
      <c r="A393" s="23"/>
      <c r="B393" s="913"/>
      <c r="C393" s="23"/>
      <c r="D393" s="1162"/>
      <c r="E393" s="40"/>
      <c r="F393" s="40"/>
    </row>
    <row r="394" spans="1:6" hidden="1">
      <c r="A394" s="23"/>
      <c r="B394" s="913"/>
      <c r="C394" s="23"/>
      <c r="D394" s="1162"/>
      <c r="E394" s="40"/>
      <c r="F394" s="40"/>
    </row>
    <row r="395" spans="1:6" hidden="1">
      <c r="A395" s="23"/>
      <c r="B395" s="913"/>
      <c r="C395" s="23"/>
      <c r="D395" s="1162"/>
      <c r="E395" s="40"/>
      <c r="F395" s="40"/>
    </row>
    <row r="396" spans="1:6" hidden="1">
      <c r="A396" s="23"/>
      <c r="B396" s="913"/>
      <c r="C396" s="23"/>
      <c r="D396" s="1162"/>
      <c r="E396" s="40"/>
      <c r="F396" s="40"/>
    </row>
    <row r="397" spans="1:6" hidden="1">
      <c r="A397" s="23"/>
      <c r="B397" s="913"/>
      <c r="C397" s="23"/>
      <c r="D397" s="1162"/>
      <c r="E397" s="40"/>
      <c r="F397" s="40"/>
    </row>
    <row r="398" spans="1:6" hidden="1">
      <c r="A398" s="23"/>
      <c r="B398" s="913"/>
      <c r="C398" s="23"/>
      <c r="D398" s="1162"/>
      <c r="E398" s="40"/>
      <c r="F398" s="40"/>
    </row>
    <row r="399" spans="1:6" hidden="1">
      <c r="A399" s="23"/>
      <c r="B399" s="913"/>
      <c r="C399" s="23"/>
      <c r="D399" s="1162"/>
      <c r="E399" s="40"/>
      <c r="F399" s="40"/>
    </row>
    <row r="400" spans="1:6" hidden="1">
      <c r="A400" s="23"/>
      <c r="B400" s="913"/>
      <c r="C400" s="23"/>
      <c r="D400" s="1162"/>
      <c r="E400" s="40"/>
      <c r="F400" s="40"/>
    </row>
    <row r="401" spans="1:6" hidden="1">
      <c r="A401" s="23"/>
      <c r="B401" s="913"/>
      <c r="C401" s="23"/>
      <c r="D401" s="1162"/>
      <c r="E401" s="40"/>
      <c r="F401" s="40"/>
    </row>
    <row r="402" spans="1:6" hidden="1">
      <c r="A402" s="23"/>
      <c r="B402" s="913"/>
      <c r="C402" s="23"/>
      <c r="D402" s="1162"/>
      <c r="E402" s="40"/>
      <c r="F402" s="40"/>
    </row>
    <row r="403" spans="1:6" hidden="1">
      <c r="A403" s="23"/>
      <c r="B403" s="913"/>
      <c r="C403" s="23"/>
      <c r="D403" s="1162"/>
      <c r="E403" s="40"/>
      <c r="F403" s="40"/>
    </row>
    <row r="404" spans="1:6" hidden="1">
      <c r="A404" s="23"/>
      <c r="B404" s="913"/>
      <c r="C404" s="23"/>
      <c r="D404" s="1162"/>
      <c r="E404" s="40"/>
      <c r="F404" s="40"/>
    </row>
    <row r="405" spans="1:6" hidden="1">
      <c r="A405" s="23"/>
      <c r="B405" s="913"/>
      <c r="C405" s="23"/>
      <c r="D405" s="1162"/>
      <c r="E405" s="40"/>
      <c r="F405" s="40"/>
    </row>
    <row r="406" spans="1:6" hidden="1">
      <c r="A406" s="23"/>
      <c r="B406" s="913"/>
      <c r="C406" s="23"/>
      <c r="D406" s="1162"/>
      <c r="E406" s="40"/>
      <c r="F406" s="40"/>
    </row>
    <row r="407" spans="1:6" hidden="1">
      <c r="A407" s="23"/>
      <c r="B407" s="913"/>
      <c r="C407" s="23"/>
      <c r="D407" s="1162"/>
      <c r="E407" s="40"/>
      <c r="F407" s="40"/>
    </row>
    <row r="408" spans="1:6" hidden="1">
      <c r="A408" s="23"/>
      <c r="B408" s="913"/>
      <c r="C408" s="23"/>
      <c r="D408" s="1162"/>
      <c r="E408" s="40"/>
      <c r="F408" s="40"/>
    </row>
    <row r="409" spans="1:6" hidden="1">
      <c r="A409" s="23"/>
      <c r="B409" s="913"/>
      <c r="C409" s="23"/>
      <c r="D409" s="1162"/>
      <c r="E409" s="40"/>
      <c r="F409" s="40"/>
    </row>
    <row r="410" spans="1:6" hidden="1">
      <c r="A410" s="23"/>
      <c r="B410" s="913"/>
      <c r="C410" s="23"/>
      <c r="D410" s="1162"/>
      <c r="E410" s="40"/>
      <c r="F410" s="40"/>
    </row>
    <row r="411" spans="1:6" hidden="1">
      <c r="A411" s="23"/>
      <c r="B411" s="913"/>
      <c r="C411" s="23"/>
      <c r="D411" s="1162"/>
      <c r="E411" s="40"/>
      <c r="F411" s="40"/>
    </row>
    <row r="412" spans="1:6" hidden="1">
      <c r="A412" s="23"/>
      <c r="B412" s="913"/>
      <c r="C412" s="23"/>
      <c r="D412" s="1162"/>
      <c r="E412" s="40"/>
      <c r="F412" s="40"/>
    </row>
    <row r="413" spans="1:6" hidden="1">
      <c r="A413" s="23"/>
      <c r="B413" s="913"/>
      <c r="C413" s="23"/>
      <c r="D413" s="1162"/>
      <c r="E413" s="40"/>
      <c r="F413" s="40"/>
    </row>
    <row r="414" spans="1:6" hidden="1">
      <c r="A414" s="23"/>
      <c r="B414" s="913"/>
      <c r="C414" s="23"/>
      <c r="D414" s="1162"/>
      <c r="E414" s="40"/>
      <c r="F414" s="40"/>
    </row>
    <row r="415" spans="1:6" hidden="1">
      <c r="A415" s="23"/>
      <c r="B415" s="913"/>
      <c r="C415" s="23"/>
      <c r="D415" s="1162"/>
      <c r="E415" s="40"/>
      <c r="F415" s="40"/>
    </row>
    <row r="416" spans="1:6" hidden="1">
      <c r="A416" s="23"/>
      <c r="B416" s="913"/>
      <c r="C416" s="23"/>
      <c r="D416" s="1162"/>
      <c r="E416" s="40"/>
      <c r="F416" s="40"/>
    </row>
    <row r="417" spans="1:6" hidden="1">
      <c r="A417" s="23"/>
      <c r="B417" s="913"/>
      <c r="C417" s="23"/>
      <c r="D417" s="1162"/>
      <c r="E417" s="40"/>
      <c r="F417" s="40"/>
    </row>
    <row r="418" spans="1:6" hidden="1">
      <c r="A418" s="23"/>
      <c r="B418" s="913"/>
      <c r="C418" s="23"/>
      <c r="D418" s="1162"/>
      <c r="E418" s="40"/>
      <c r="F418" s="40"/>
    </row>
    <row r="419" spans="1:6" hidden="1">
      <c r="A419" s="23"/>
      <c r="B419" s="913"/>
      <c r="C419" s="23"/>
      <c r="D419" s="1162"/>
      <c r="E419" s="40"/>
      <c r="F419" s="40"/>
    </row>
    <row r="420" spans="1:6" hidden="1">
      <c r="A420" s="23"/>
      <c r="B420" s="913"/>
      <c r="C420" s="23"/>
      <c r="D420" s="1162"/>
      <c r="E420" s="40"/>
      <c r="F420" s="40"/>
    </row>
    <row r="421" spans="1:6" hidden="1">
      <c r="A421" s="23"/>
      <c r="B421" s="913"/>
      <c r="C421" s="23"/>
      <c r="D421" s="1162"/>
      <c r="E421" s="40"/>
      <c r="F421" s="40"/>
    </row>
    <row r="422" spans="1:6" hidden="1">
      <c r="A422" s="23"/>
      <c r="B422" s="913"/>
      <c r="C422" s="23"/>
      <c r="D422" s="1162"/>
      <c r="E422" s="40"/>
      <c r="F422" s="40"/>
    </row>
    <row r="423" spans="1:6" hidden="1">
      <c r="A423" s="23"/>
      <c r="B423" s="913"/>
      <c r="C423" s="23"/>
      <c r="D423" s="1162"/>
      <c r="E423" s="40"/>
      <c r="F423" s="40"/>
    </row>
    <row r="424" spans="1:6" hidden="1">
      <c r="A424" s="23"/>
      <c r="B424" s="913"/>
      <c r="C424" s="23"/>
      <c r="D424" s="1162"/>
      <c r="E424" s="40"/>
      <c r="F424" s="40"/>
    </row>
    <row r="425" spans="1:6" hidden="1">
      <c r="A425" s="23"/>
      <c r="B425" s="913"/>
      <c r="C425" s="23"/>
      <c r="D425" s="1162"/>
      <c r="E425" s="40"/>
      <c r="F425" s="40"/>
    </row>
    <row r="426" spans="1:6" hidden="1">
      <c r="A426" s="23"/>
      <c r="B426" s="913"/>
      <c r="C426" s="23"/>
      <c r="D426" s="1162"/>
      <c r="E426" s="40"/>
      <c r="F426" s="40"/>
    </row>
    <row r="427" spans="1:6" hidden="1">
      <c r="A427" s="23"/>
      <c r="B427" s="913"/>
      <c r="C427" s="23"/>
      <c r="D427" s="1162"/>
      <c r="E427" s="40"/>
      <c r="F427" s="40"/>
    </row>
    <row r="428" spans="1:6" hidden="1">
      <c r="A428" s="23"/>
      <c r="B428" s="913"/>
      <c r="C428" s="23"/>
      <c r="D428" s="1162"/>
      <c r="E428" s="40"/>
      <c r="F428" s="40"/>
    </row>
    <row r="429" spans="1:6" hidden="1">
      <c r="A429" s="23"/>
      <c r="B429" s="913"/>
      <c r="C429" s="23"/>
      <c r="D429" s="1162"/>
      <c r="E429" s="40"/>
      <c r="F429" s="40"/>
    </row>
    <row r="430" spans="1:6" hidden="1">
      <c r="A430" s="23"/>
      <c r="B430" s="913"/>
      <c r="C430" s="23"/>
      <c r="D430" s="1162"/>
      <c r="E430" s="40"/>
      <c r="F430" s="40"/>
    </row>
    <row r="431" spans="1:6" hidden="1">
      <c r="A431" s="23"/>
      <c r="B431" s="913"/>
      <c r="C431" s="23"/>
      <c r="D431" s="1162"/>
      <c r="E431" s="40"/>
      <c r="F431" s="40"/>
    </row>
    <row r="432" spans="1:6" hidden="1">
      <c r="A432" s="23"/>
      <c r="B432" s="913"/>
      <c r="C432" s="23"/>
      <c r="D432" s="1162"/>
      <c r="E432" s="40"/>
      <c r="F432" s="40"/>
    </row>
    <row r="433" spans="1:6" hidden="1">
      <c r="A433" s="23"/>
      <c r="B433" s="913"/>
      <c r="C433" s="23"/>
      <c r="D433" s="1162"/>
      <c r="E433" s="40"/>
      <c r="F433" s="40"/>
    </row>
    <row r="434" spans="1:6" hidden="1">
      <c r="A434" s="23"/>
      <c r="B434" s="913"/>
      <c r="C434" s="23"/>
      <c r="D434" s="1162"/>
      <c r="E434" s="40"/>
      <c r="F434" s="40"/>
    </row>
    <row r="435" spans="1:6" hidden="1">
      <c r="A435" s="23"/>
      <c r="B435" s="913"/>
      <c r="C435" s="23"/>
      <c r="D435" s="1162"/>
      <c r="E435" s="40"/>
      <c r="F435" s="40"/>
    </row>
    <row r="436" spans="1:6" hidden="1">
      <c r="A436" s="23"/>
      <c r="B436" s="913"/>
      <c r="C436" s="23"/>
      <c r="D436" s="1162"/>
      <c r="E436" s="40"/>
      <c r="F436" s="40"/>
    </row>
    <row r="437" spans="1:6" hidden="1">
      <c r="A437" s="23"/>
      <c r="B437" s="913"/>
      <c r="C437" s="23"/>
      <c r="D437" s="1162"/>
      <c r="E437" s="40"/>
      <c r="F437" s="40"/>
    </row>
    <row r="438" spans="1:6" hidden="1">
      <c r="A438" s="23"/>
      <c r="B438" s="913"/>
      <c r="C438" s="23"/>
      <c r="D438" s="1162"/>
      <c r="E438" s="40"/>
      <c r="F438" s="40"/>
    </row>
    <row r="439" spans="1:6" hidden="1">
      <c r="A439" s="23"/>
      <c r="B439" s="913"/>
      <c r="C439" s="23"/>
      <c r="D439" s="1162"/>
      <c r="E439" s="40"/>
      <c r="F439" s="40"/>
    </row>
    <row r="440" spans="1:6" hidden="1">
      <c r="A440" s="23"/>
      <c r="B440" s="913"/>
      <c r="C440" s="23"/>
      <c r="D440" s="1162"/>
      <c r="E440" s="40"/>
      <c r="F440" s="40"/>
    </row>
    <row r="441" spans="1:6" hidden="1">
      <c r="A441" s="23"/>
      <c r="B441" s="913"/>
      <c r="C441" s="23"/>
      <c r="D441" s="1162"/>
      <c r="E441" s="40"/>
      <c r="F441" s="40"/>
    </row>
    <row r="442" spans="1:6" hidden="1">
      <c r="A442" s="23"/>
      <c r="B442" s="913"/>
      <c r="C442" s="23"/>
      <c r="D442" s="1162"/>
      <c r="E442" s="40"/>
      <c r="F442" s="40"/>
    </row>
    <row r="443" spans="1:6" hidden="1">
      <c r="A443" s="23"/>
      <c r="B443" s="913"/>
      <c r="C443" s="23"/>
      <c r="D443" s="1162"/>
      <c r="E443" s="40"/>
      <c r="F443" s="40"/>
    </row>
    <row r="444" spans="1:6" hidden="1">
      <c r="A444" s="23"/>
      <c r="B444" s="913"/>
      <c r="C444" s="23"/>
      <c r="D444" s="1162"/>
      <c r="E444" s="40"/>
      <c r="F444" s="40"/>
    </row>
    <row r="445" spans="1:6" hidden="1">
      <c r="A445" s="23"/>
      <c r="B445" s="913"/>
      <c r="C445" s="23"/>
      <c r="D445" s="1162"/>
      <c r="E445" s="40"/>
      <c r="F445" s="40"/>
    </row>
    <row r="446" spans="1:6" hidden="1">
      <c r="A446" s="23"/>
      <c r="B446" s="913"/>
      <c r="C446" s="23"/>
      <c r="D446" s="1162"/>
      <c r="E446" s="40"/>
      <c r="F446" s="40"/>
    </row>
    <row r="447" spans="1:6" hidden="1">
      <c r="A447" s="23"/>
      <c r="B447" s="913"/>
      <c r="C447" s="23"/>
      <c r="D447" s="1162"/>
      <c r="E447" s="40"/>
      <c r="F447" s="40"/>
    </row>
    <row r="448" spans="1:6" hidden="1">
      <c r="A448" s="23"/>
      <c r="B448" s="913"/>
      <c r="C448" s="23"/>
      <c r="D448" s="1162"/>
      <c r="E448" s="40"/>
      <c r="F448" s="40"/>
    </row>
    <row r="449" spans="1:6" hidden="1">
      <c r="A449" s="23"/>
      <c r="B449" s="913"/>
      <c r="C449" s="23"/>
      <c r="D449" s="1162"/>
      <c r="E449" s="40"/>
      <c r="F449" s="40"/>
    </row>
    <row r="450" spans="1:6" hidden="1">
      <c r="A450" s="23"/>
      <c r="B450" s="913"/>
      <c r="C450" s="23"/>
      <c r="D450" s="1162"/>
      <c r="E450" s="40"/>
      <c r="F450" s="40"/>
    </row>
    <row r="451" spans="1:6" hidden="1">
      <c r="A451" s="23"/>
      <c r="B451" s="913"/>
      <c r="C451" s="23"/>
      <c r="D451" s="1162"/>
      <c r="E451" s="40"/>
      <c r="F451" s="40"/>
    </row>
    <row r="452" spans="1:6" hidden="1">
      <c r="A452" s="23"/>
      <c r="B452" s="913"/>
      <c r="C452" s="23"/>
      <c r="D452" s="1162"/>
      <c r="E452" s="40"/>
      <c r="F452" s="40"/>
    </row>
    <row r="453" spans="1:6" hidden="1">
      <c r="A453" s="23"/>
      <c r="B453" s="913"/>
      <c r="C453" s="23"/>
      <c r="D453" s="1162"/>
      <c r="E453" s="40"/>
      <c r="F453" s="40"/>
    </row>
    <row r="454" spans="1:6" hidden="1">
      <c r="A454" s="23"/>
      <c r="B454" s="913"/>
      <c r="C454" s="23"/>
      <c r="D454" s="1162"/>
      <c r="E454" s="40"/>
      <c r="F454" s="40"/>
    </row>
    <row r="455" spans="1:6" hidden="1">
      <c r="A455" s="23"/>
      <c r="B455" s="913"/>
      <c r="C455" s="23"/>
      <c r="D455" s="1162"/>
      <c r="E455" s="40"/>
      <c r="F455" s="40"/>
    </row>
    <row r="456" spans="1:6" hidden="1">
      <c r="A456" s="23"/>
      <c r="B456" s="913"/>
      <c r="C456" s="23"/>
      <c r="D456" s="1162"/>
      <c r="E456" s="40"/>
      <c r="F456" s="40"/>
    </row>
    <row r="457" spans="1:6" hidden="1">
      <c r="A457" s="23"/>
      <c r="B457" s="913"/>
      <c r="C457" s="23"/>
      <c r="D457" s="1162"/>
      <c r="E457" s="40"/>
      <c r="F457" s="40"/>
    </row>
    <row r="458" spans="1:6" hidden="1">
      <c r="A458" s="23"/>
      <c r="B458" s="913"/>
      <c r="C458" s="23"/>
      <c r="D458" s="1162"/>
      <c r="E458" s="40"/>
      <c r="F458" s="40"/>
    </row>
    <row r="459" spans="1:6" hidden="1">
      <c r="A459" s="23"/>
      <c r="B459" s="913"/>
      <c r="C459" s="23"/>
      <c r="D459" s="1162"/>
      <c r="E459" s="40"/>
      <c r="F459" s="40"/>
    </row>
    <row r="460" spans="1:6" hidden="1">
      <c r="A460" s="23"/>
      <c r="B460" s="913"/>
      <c r="C460" s="23"/>
      <c r="D460" s="1162"/>
      <c r="E460" s="40"/>
      <c r="F460" s="40"/>
    </row>
    <row r="461" spans="1:6" hidden="1">
      <c r="A461" s="23"/>
      <c r="B461" s="913"/>
      <c r="C461" s="23"/>
      <c r="D461" s="1162"/>
      <c r="E461" s="40"/>
      <c r="F461" s="40"/>
    </row>
    <row r="462" spans="1:6" hidden="1">
      <c r="A462" s="23"/>
      <c r="B462" s="913"/>
      <c r="C462" s="23"/>
      <c r="D462" s="1162"/>
      <c r="E462" s="40"/>
      <c r="F462" s="40"/>
    </row>
    <row r="463" spans="1:6" hidden="1">
      <c r="A463" s="23"/>
      <c r="B463" s="913"/>
      <c r="C463" s="23"/>
      <c r="D463" s="1162"/>
      <c r="E463" s="40"/>
      <c r="F463" s="40"/>
    </row>
    <row r="464" spans="1:6" hidden="1">
      <c r="A464" s="23"/>
      <c r="B464" s="913"/>
      <c r="C464" s="23"/>
      <c r="D464" s="1162"/>
      <c r="E464" s="40"/>
      <c r="F464" s="40"/>
    </row>
    <row r="465" spans="1:6" hidden="1">
      <c r="A465" s="23"/>
      <c r="B465" s="913"/>
      <c r="C465" s="23"/>
      <c r="D465" s="1162"/>
      <c r="E465" s="40"/>
      <c r="F465" s="40"/>
    </row>
    <row r="466" spans="1:6" hidden="1">
      <c r="A466" s="23"/>
      <c r="B466" s="913"/>
      <c r="C466" s="23"/>
      <c r="D466" s="1162"/>
      <c r="E466" s="40"/>
      <c r="F466" s="40"/>
    </row>
    <row r="467" spans="1:6" hidden="1">
      <c r="A467" s="23"/>
      <c r="B467" s="913"/>
      <c r="C467" s="23"/>
      <c r="D467" s="1162"/>
      <c r="E467" s="40"/>
      <c r="F467" s="40"/>
    </row>
    <row r="468" spans="1:6" hidden="1">
      <c r="A468" s="23"/>
      <c r="B468" s="913"/>
      <c r="C468" s="23"/>
      <c r="D468" s="1162"/>
      <c r="E468" s="40"/>
      <c r="F468" s="40"/>
    </row>
    <row r="469" spans="1:6" hidden="1">
      <c r="A469" s="23"/>
      <c r="B469" s="913"/>
      <c r="C469" s="23"/>
      <c r="D469" s="1162"/>
      <c r="E469" s="40"/>
      <c r="F469" s="40"/>
    </row>
    <row r="470" spans="1:6" hidden="1">
      <c r="A470" s="23"/>
      <c r="B470" s="913"/>
      <c r="C470" s="23"/>
      <c r="D470" s="1162"/>
      <c r="E470" s="40"/>
      <c r="F470" s="40"/>
    </row>
    <row r="471" spans="1:6" hidden="1">
      <c r="A471" s="23"/>
      <c r="B471" s="913"/>
      <c r="C471" s="23"/>
      <c r="D471" s="1162"/>
      <c r="E471" s="40"/>
      <c r="F471" s="40"/>
    </row>
    <row r="472" spans="1:6" hidden="1">
      <c r="A472" s="23"/>
      <c r="B472" s="913"/>
      <c r="C472" s="23"/>
      <c r="D472" s="1162"/>
      <c r="E472" s="40"/>
      <c r="F472" s="40"/>
    </row>
    <row r="473" spans="1:6" hidden="1">
      <c r="A473" s="23"/>
      <c r="B473" s="913"/>
      <c r="C473" s="23"/>
      <c r="D473" s="1162"/>
      <c r="E473" s="40"/>
      <c r="F473" s="40"/>
    </row>
    <row r="474" spans="1:6" hidden="1">
      <c r="A474" s="23"/>
      <c r="B474" s="913"/>
      <c r="C474" s="23"/>
      <c r="D474" s="1162"/>
      <c r="E474" s="40"/>
      <c r="F474" s="40"/>
    </row>
    <row r="475" spans="1:6" hidden="1">
      <c r="A475" s="23"/>
      <c r="B475" s="913"/>
      <c r="C475" s="23"/>
      <c r="D475" s="1162"/>
      <c r="E475" s="40"/>
      <c r="F475" s="40"/>
    </row>
    <row r="476" spans="1:6" hidden="1">
      <c r="A476" s="23"/>
      <c r="B476" s="913"/>
      <c r="C476" s="23"/>
      <c r="D476" s="1162"/>
      <c r="E476" s="40"/>
      <c r="F476" s="40"/>
    </row>
    <row r="477" spans="1:6" hidden="1">
      <c r="A477" s="23"/>
      <c r="B477" s="913"/>
      <c r="C477" s="23"/>
      <c r="D477" s="1162"/>
      <c r="E477" s="40"/>
      <c r="F477" s="40"/>
    </row>
    <row r="478" spans="1:6" hidden="1">
      <c r="A478" s="23"/>
      <c r="B478" s="913"/>
      <c r="C478" s="23"/>
      <c r="D478" s="1162"/>
      <c r="E478" s="40"/>
      <c r="F478" s="40"/>
    </row>
    <row r="479" spans="1:6" hidden="1">
      <c r="A479" s="23"/>
      <c r="B479" s="913"/>
      <c r="C479" s="23"/>
      <c r="D479" s="1162"/>
      <c r="E479" s="40"/>
      <c r="F479" s="40"/>
    </row>
    <row r="480" spans="1:6" hidden="1">
      <c r="A480" s="23"/>
      <c r="B480" s="913"/>
      <c r="C480" s="23"/>
      <c r="D480" s="1162"/>
      <c r="E480" s="40"/>
      <c r="F480" s="40"/>
    </row>
    <row r="481" spans="1:6" hidden="1">
      <c r="A481" s="23"/>
      <c r="B481" s="913"/>
      <c r="C481" s="23"/>
      <c r="D481" s="1162"/>
      <c r="E481" s="40"/>
      <c r="F481" s="40"/>
    </row>
    <row r="482" spans="1:6" hidden="1">
      <c r="A482" s="23"/>
      <c r="B482" s="913"/>
      <c r="C482" s="23"/>
      <c r="D482" s="1162"/>
      <c r="E482" s="40"/>
      <c r="F482" s="40"/>
    </row>
    <row r="483" spans="1:6" hidden="1">
      <c r="A483" s="23"/>
      <c r="B483" s="913"/>
      <c r="C483" s="23"/>
      <c r="D483" s="1162"/>
      <c r="E483" s="40"/>
      <c r="F483" s="40"/>
    </row>
    <row r="484" spans="1:6" hidden="1">
      <c r="A484" s="23"/>
      <c r="B484" s="913"/>
      <c r="C484" s="23"/>
      <c r="D484" s="1162"/>
      <c r="E484" s="40"/>
      <c r="F484" s="40"/>
    </row>
    <row r="485" spans="1:6" hidden="1">
      <c r="A485" s="23"/>
      <c r="B485" s="913"/>
      <c r="C485" s="23"/>
      <c r="D485" s="1162"/>
      <c r="E485" s="40"/>
      <c r="F485" s="40"/>
    </row>
    <row r="486" spans="1:6" hidden="1">
      <c r="A486" s="23"/>
      <c r="B486" s="913"/>
      <c r="C486" s="23"/>
      <c r="D486" s="1162"/>
      <c r="E486" s="40"/>
      <c r="F486" s="40"/>
    </row>
    <row r="487" spans="1:6" hidden="1">
      <c r="A487" s="23"/>
      <c r="B487" s="913"/>
      <c r="C487" s="23"/>
      <c r="D487" s="1162"/>
      <c r="E487" s="40"/>
      <c r="F487" s="40"/>
    </row>
    <row r="488" spans="1:6" hidden="1">
      <c r="A488" s="23"/>
      <c r="B488" s="913"/>
      <c r="C488" s="23"/>
      <c r="D488" s="1162"/>
      <c r="E488" s="40"/>
      <c r="F488" s="40"/>
    </row>
    <row r="489" spans="1:6" hidden="1">
      <c r="A489" s="23"/>
      <c r="B489" s="913"/>
      <c r="C489" s="23"/>
      <c r="D489" s="1162"/>
      <c r="E489" s="40"/>
      <c r="F489" s="40"/>
    </row>
    <row r="490" spans="1:6" hidden="1">
      <c r="A490" s="23"/>
      <c r="B490" s="913"/>
      <c r="C490" s="23"/>
      <c r="D490" s="1162"/>
      <c r="E490" s="40"/>
      <c r="F490" s="40"/>
    </row>
    <row r="491" spans="1:6" hidden="1">
      <c r="A491" s="23"/>
      <c r="B491" s="913"/>
      <c r="C491" s="23"/>
      <c r="D491" s="1162"/>
      <c r="E491" s="40"/>
      <c r="F491" s="40"/>
    </row>
    <row r="492" spans="1:6" hidden="1">
      <c r="A492" s="23"/>
      <c r="B492" s="913"/>
      <c r="C492" s="23"/>
      <c r="D492" s="1162"/>
      <c r="E492" s="40"/>
      <c r="F492" s="40"/>
    </row>
    <row r="493" spans="1:6" hidden="1">
      <c r="A493" s="23"/>
      <c r="B493" s="913"/>
      <c r="C493" s="23"/>
      <c r="D493" s="1162"/>
      <c r="E493" s="40"/>
      <c r="F493" s="40"/>
    </row>
    <row r="494" spans="1:6" hidden="1">
      <c r="A494" s="23"/>
      <c r="B494" s="913"/>
      <c r="C494" s="23"/>
      <c r="D494" s="1162"/>
      <c r="E494" s="40"/>
      <c r="F494" s="40"/>
    </row>
    <row r="495" spans="1:6" hidden="1">
      <c r="A495" s="23"/>
      <c r="B495" s="913"/>
      <c r="C495" s="23"/>
      <c r="D495" s="1162"/>
      <c r="E495" s="40"/>
      <c r="F495" s="40"/>
    </row>
    <row r="496" spans="1:6" hidden="1">
      <c r="A496" s="23"/>
      <c r="B496" s="913"/>
      <c r="C496" s="23"/>
      <c r="D496" s="1162"/>
      <c r="E496" s="40"/>
      <c r="F496" s="40"/>
    </row>
    <row r="497" spans="1:6" hidden="1">
      <c r="A497" s="23"/>
      <c r="B497" s="913"/>
      <c r="C497" s="23"/>
      <c r="D497" s="1162"/>
      <c r="E497" s="40"/>
      <c r="F497" s="40"/>
    </row>
    <row r="498" spans="1:6" hidden="1">
      <c r="A498" s="23"/>
      <c r="B498" s="913"/>
      <c r="C498" s="23"/>
      <c r="D498" s="1162"/>
      <c r="E498" s="40"/>
      <c r="F498" s="40"/>
    </row>
    <row r="499" spans="1:6" hidden="1">
      <c r="A499" s="23"/>
      <c r="B499" s="913"/>
      <c r="C499" s="23"/>
      <c r="D499" s="1162"/>
      <c r="E499" s="40"/>
      <c r="F499" s="40"/>
    </row>
    <row r="500" spans="1:6" hidden="1">
      <c r="A500" s="23"/>
      <c r="B500" s="913"/>
      <c r="C500" s="23"/>
      <c r="D500" s="1162"/>
      <c r="E500" s="40"/>
      <c r="F500" s="40"/>
    </row>
    <row r="501" spans="1:6" hidden="1">
      <c r="A501" s="23"/>
      <c r="B501" s="913"/>
      <c r="C501" s="23"/>
      <c r="D501" s="1162"/>
      <c r="E501" s="40"/>
      <c r="F501" s="40"/>
    </row>
    <row r="502" spans="1:6" hidden="1">
      <c r="A502" s="23"/>
      <c r="B502" s="913"/>
      <c r="C502" s="23"/>
      <c r="D502" s="1162"/>
      <c r="E502" s="40"/>
      <c r="F502" s="40"/>
    </row>
    <row r="503" spans="1:6" hidden="1">
      <c r="A503" s="23"/>
      <c r="B503" s="913"/>
      <c r="C503" s="23"/>
      <c r="D503" s="1162"/>
      <c r="E503" s="40"/>
      <c r="F503" s="40"/>
    </row>
    <row r="504" spans="1:6" hidden="1">
      <c r="A504" s="23"/>
      <c r="B504" s="913"/>
      <c r="C504" s="23"/>
      <c r="D504" s="1162"/>
      <c r="E504" s="40"/>
      <c r="F504" s="40"/>
    </row>
    <row r="505" spans="1:6" hidden="1">
      <c r="A505" s="23"/>
      <c r="B505" s="913"/>
      <c r="C505" s="23"/>
      <c r="D505" s="1162"/>
      <c r="E505" s="40"/>
      <c r="F505" s="40"/>
    </row>
    <row r="506" spans="1:6" hidden="1">
      <c r="A506" s="23"/>
      <c r="B506" s="913"/>
      <c r="C506" s="23"/>
      <c r="D506" s="1162"/>
      <c r="E506" s="40"/>
      <c r="F506" s="40"/>
    </row>
    <row r="507" spans="1:6" hidden="1">
      <c r="A507" s="23"/>
      <c r="B507" s="913"/>
      <c r="C507" s="23"/>
      <c r="D507" s="1162"/>
      <c r="E507" s="40"/>
      <c r="F507" s="40"/>
    </row>
    <row r="508" spans="1:6" hidden="1">
      <c r="A508" s="23"/>
      <c r="B508" s="913"/>
      <c r="C508" s="23"/>
      <c r="D508" s="1162"/>
      <c r="E508" s="40"/>
      <c r="F508" s="40"/>
    </row>
    <row r="509" spans="1:6" hidden="1">
      <c r="A509" s="23"/>
      <c r="B509" s="913"/>
      <c r="C509" s="23"/>
      <c r="D509" s="1162"/>
      <c r="E509" s="40"/>
      <c r="F509" s="40"/>
    </row>
    <row r="510" spans="1:6" hidden="1">
      <c r="A510" s="23"/>
      <c r="B510" s="913"/>
      <c r="C510" s="23"/>
      <c r="D510" s="1162"/>
      <c r="E510" s="40"/>
      <c r="F510" s="40"/>
    </row>
    <row r="511" spans="1:6" hidden="1">
      <c r="A511" s="23"/>
      <c r="B511" s="913"/>
      <c r="C511" s="23"/>
      <c r="D511" s="1162"/>
      <c r="E511" s="40"/>
      <c r="F511" s="40"/>
    </row>
    <row r="512" spans="1:6" hidden="1">
      <c r="A512" s="23"/>
      <c r="B512" s="913"/>
      <c r="C512" s="23"/>
      <c r="D512" s="1162"/>
      <c r="E512" s="40"/>
      <c r="F512" s="40"/>
    </row>
    <row r="513" spans="1:6" hidden="1">
      <c r="A513" s="23"/>
      <c r="B513" s="913"/>
      <c r="C513" s="23"/>
      <c r="D513" s="1162"/>
      <c r="E513" s="40"/>
      <c r="F513" s="40"/>
    </row>
    <row r="514" spans="1:6" hidden="1">
      <c r="A514" s="23"/>
      <c r="B514" s="913"/>
      <c r="C514" s="23"/>
      <c r="D514" s="1162"/>
      <c r="E514" s="40"/>
      <c r="F514" s="40"/>
    </row>
    <row r="515" spans="1:6" hidden="1">
      <c r="A515" s="23"/>
      <c r="B515" s="913"/>
      <c r="C515" s="23"/>
      <c r="D515" s="1162"/>
      <c r="E515" s="40"/>
      <c r="F515" s="40"/>
    </row>
    <row r="516" spans="1:6" hidden="1">
      <c r="A516" s="23"/>
      <c r="B516" s="913"/>
      <c r="C516" s="23"/>
      <c r="D516" s="1162"/>
      <c r="E516" s="40"/>
      <c r="F516" s="40"/>
    </row>
    <row r="517" spans="1:6" hidden="1">
      <c r="A517" s="23"/>
      <c r="B517" s="913"/>
      <c r="C517" s="23"/>
      <c r="D517" s="1162"/>
      <c r="E517" s="40"/>
      <c r="F517" s="40"/>
    </row>
    <row r="518" spans="1:6" hidden="1">
      <c r="A518" s="23"/>
      <c r="B518" s="913"/>
      <c r="C518" s="23"/>
      <c r="D518" s="1162"/>
      <c r="E518" s="40"/>
      <c r="F518" s="40"/>
    </row>
    <row r="519" spans="1:6" hidden="1">
      <c r="A519" s="23"/>
      <c r="B519" s="913"/>
      <c r="C519" s="23"/>
      <c r="D519" s="1162"/>
      <c r="E519" s="40"/>
      <c r="F519" s="40"/>
    </row>
    <row r="520" spans="1:6" hidden="1">
      <c r="A520" s="23"/>
      <c r="B520" s="913"/>
      <c r="C520" s="23"/>
      <c r="D520" s="1162"/>
      <c r="E520" s="40"/>
      <c r="F520" s="40"/>
    </row>
    <row r="521" spans="1:6" hidden="1">
      <c r="A521" s="23"/>
      <c r="B521" s="913"/>
      <c r="C521" s="23"/>
      <c r="D521" s="1162"/>
      <c r="E521" s="40"/>
      <c r="F521" s="40"/>
    </row>
    <row r="522" spans="1:6" hidden="1">
      <c r="A522" s="23"/>
      <c r="B522" s="913"/>
      <c r="C522" s="23"/>
      <c r="D522" s="1162"/>
      <c r="E522" s="40"/>
      <c r="F522" s="40"/>
    </row>
    <row r="523" spans="1:6" hidden="1">
      <c r="A523" s="23"/>
      <c r="B523" s="913"/>
      <c r="C523" s="23"/>
      <c r="D523" s="1162"/>
      <c r="E523" s="40"/>
      <c r="F523" s="40"/>
    </row>
    <row r="524" spans="1:6" hidden="1">
      <c r="A524" s="23"/>
      <c r="B524" s="913"/>
      <c r="C524" s="23"/>
      <c r="D524" s="1162"/>
      <c r="E524" s="40"/>
      <c r="F524" s="40"/>
    </row>
    <row r="525" spans="1:6" hidden="1">
      <c r="A525" s="23"/>
      <c r="B525" s="913"/>
      <c r="C525" s="23"/>
      <c r="D525" s="1162"/>
      <c r="E525" s="40"/>
      <c r="F525" s="40"/>
    </row>
    <row r="526" spans="1:6" hidden="1">
      <c r="A526" s="23"/>
      <c r="B526" s="913"/>
      <c r="C526" s="23"/>
      <c r="D526" s="1162"/>
      <c r="E526" s="40"/>
      <c r="F526" s="40"/>
    </row>
    <row r="527" spans="1:6" hidden="1">
      <c r="A527" s="23"/>
      <c r="B527" s="913"/>
      <c r="C527" s="23"/>
      <c r="D527" s="1162"/>
      <c r="E527" s="40"/>
      <c r="F527" s="40"/>
    </row>
    <row r="528" spans="1:6" hidden="1">
      <c r="A528" s="23"/>
      <c r="B528" s="913"/>
      <c r="C528" s="23"/>
      <c r="D528" s="1162"/>
      <c r="E528" s="40"/>
      <c r="F528" s="40"/>
    </row>
    <row r="529" spans="1:6" hidden="1">
      <c r="A529" s="23"/>
      <c r="B529" s="913"/>
      <c r="C529" s="23"/>
      <c r="D529" s="1162"/>
      <c r="E529" s="40"/>
      <c r="F529" s="40"/>
    </row>
    <row r="530" spans="1:6" hidden="1">
      <c r="A530" s="23"/>
      <c r="B530" s="913"/>
      <c r="C530" s="23"/>
      <c r="D530" s="1162"/>
      <c r="E530" s="40"/>
      <c r="F530" s="40"/>
    </row>
    <row r="531" spans="1:6" hidden="1">
      <c r="A531" s="23"/>
      <c r="B531" s="913"/>
      <c r="C531" s="23"/>
      <c r="D531" s="1162"/>
      <c r="E531" s="40"/>
      <c r="F531" s="40"/>
    </row>
    <row r="532" spans="1:6" hidden="1">
      <c r="A532" s="23"/>
      <c r="B532" s="913"/>
      <c r="C532" s="23"/>
      <c r="D532" s="1162"/>
      <c r="E532" s="40"/>
      <c r="F532" s="40"/>
    </row>
    <row r="533" spans="1:6" hidden="1">
      <c r="A533" s="23"/>
      <c r="B533" s="913"/>
      <c r="C533" s="23"/>
      <c r="D533" s="1162"/>
      <c r="E533" s="40"/>
      <c r="F533" s="40"/>
    </row>
    <row r="534" spans="1:6" hidden="1">
      <c r="A534" s="23"/>
      <c r="B534" s="913"/>
      <c r="C534" s="23"/>
      <c r="D534" s="1162"/>
      <c r="E534" s="40"/>
      <c r="F534" s="40"/>
    </row>
    <row r="535" spans="1:6" hidden="1">
      <c r="A535" s="23"/>
      <c r="B535" s="913"/>
      <c r="C535" s="23"/>
      <c r="D535" s="1162"/>
      <c r="E535" s="40"/>
      <c r="F535" s="40"/>
    </row>
    <row r="536" spans="1:6" hidden="1">
      <c r="A536" s="23"/>
      <c r="B536" s="913"/>
      <c r="C536" s="23"/>
      <c r="D536" s="1162"/>
      <c r="E536" s="40"/>
      <c r="F536" s="40"/>
    </row>
    <row r="537" spans="1:6" hidden="1">
      <c r="A537" s="23"/>
      <c r="B537" s="913"/>
      <c r="C537" s="23"/>
      <c r="D537" s="1162"/>
      <c r="E537" s="40"/>
      <c r="F537" s="40"/>
    </row>
    <row r="538" spans="1:6" hidden="1">
      <c r="A538" s="23"/>
      <c r="B538" s="913"/>
      <c r="C538" s="23"/>
      <c r="D538" s="1162"/>
      <c r="E538" s="40"/>
      <c r="F538" s="40"/>
    </row>
    <row r="539" spans="1:6" hidden="1">
      <c r="A539" s="23"/>
      <c r="B539" s="913"/>
      <c r="C539" s="23"/>
      <c r="D539" s="1162"/>
      <c r="E539" s="40"/>
      <c r="F539" s="40"/>
    </row>
    <row r="540" spans="1:6" hidden="1">
      <c r="A540" s="23"/>
      <c r="B540" s="913"/>
      <c r="C540" s="23"/>
      <c r="D540" s="1162"/>
      <c r="E540" s="40"/>
      <c r="F540" s="40"/>
    </row>
    <row r="541" spans="1:6" hidden="1">
      <c r="A541" s="23"/>
      <c r="B541" s="913"/>
      <c r="C541" s="23"/>
      <c r="D541" s="1162"/>
      <c r="E541" s="40"/>
      <c r="F541" s="40"/>
    </row>
    <row r="542" spans="1:6" hidden="1">
      <c r="A542" s="23"/>
      <c r="B542" s="913"/>
      <c r="C542" s="23"/>
      <c r="D542" s="1162"/>
      <c r="E542" s="40"/>
      <c r="F542" s="40"/>
    </row>
    <row r="543" spans="1:6" hidden="1">
      <c r="A543" s="23"/>
      <c r="B543" s="913"/>
      <c r="C543" s="23"/>
      <c r="D543" s="1162"/>
      <c r="E543" s="40"/>
      <c r="F543" s="40"/>
    </row>
    <row r="544" spans="1:6" hidden="1">
      <c r="A544" s="23"/>
      <c r="B544" s="913"/>
      <c r="C544" s="23"/>
      <c r="D544" s="1162"/>
      <c r="E544" s="40"/>
      <c r="F544" s="40"/>
    </row>
    <row r="545" spans="1:6" hidden="1">
      <c r="A545" s="23"/>
      <c r="B545" s="913"/>
      <c r="C545" s="23"/>
      <c r="D545" s="1162"/>
      <c r="E545" s="40"/>
      <c r="F545" s="40"/>
    </row>
    <row r="546" spans="1:6" hidden="1">
      <c r="A546" s="23"/>
      <c r="B546" s="913"/>
      <c r="C546" s="23"/>
      <c r="D546" s="1162"/>
      <c r="E546" s="40"/>
      <c r="F546" s="40"/>
    </row>
    <row r="547" spans="1:6" hidden="1">
      <c r="A547" s="23"/>
      <c r="B547" s="913"/>
      <c r="C547" s="23"/>
      <c r="D547" s="1162"/>
      <c r="E547" s="40"/>
      <c r="F547" s="40"/>
    </row>
    <row r="548" spans="1:6" hidden="1">
      <c r="A548" s="23"/>
      <c r="B548" s="913"/>
      <c r="C548" s="23"/>
      <c r="D548" s="1162"/>
      <c r="E548" s="40"/>
      <c r="F548" s="40"/>
    </row>
    <row r="549" spans="1:6" hidden="1">
      <c r="A549" s="23"/>
      <c r="B549" s="913"/>
      <c r="C549" s="23"/>
      <c r="D549" s="1162"/>
      <c r="E549" s="40"/>
      <c r="F549" s="40"/>
    </row>
    <row r="550" spans="1:6" hidden="1">
      <c r="A550" s="23"/>
      <c r="B550" s="913"/>
      <c r="C550" s="23"/>
      <c r="D550" s="1162"/>
      <c r="E550" s="40"/>
      <c r="F550" s="40"/>
    </row>
    <row r="551" spans="1:6" hidden="1">
      <c r="A551" s="23"/>
      <c r="B551" s="913"/>
      <c r="C551" s="23"/>
      <c r="D551" s="1162"/>
      <c r="E551" s="40"/>
      <c r="F551" s="40"/>
    </row>
    <row r="552" spans="1:6" hidden="1">
      <c r="A552" s="23"/>
      <c r="B552" s="913"/>
      <c r="C552" s="23"/>
      <c r="D552" s="1162"/>
      <c r="E552" s="40"/>
      <c r="F552" s="40"/>
    </row>
    <row r="553" spans="1:6" hidden="1">
      <c r="A553" s="23"/>
      <c r="B553" s="913"/>
      <c r="C553" s="23"/>
      <c r="D553" s="1162"/>
      <c r="E553" s="40"/>
      <c r="F553" s="40"/>
    </row>
    <row r="554" spans="1:6" hidden="1">
      <c r="A554" s="23"/>
      <c r="B554" s="913"/>
      <c r="C554" s="23"/>
      <c r="D554" s="1162"/>
      <c r="E554" s="40"/>
      <c r="F554" s="40"/>
    </row>
    <row r="555" spans="1:6" hidden="1">
      <c r="A555" s="23"/>
      <c r="B555" s="913"/>
      <c r="C555" s="23"/>
      <c r="D555" s="1162"/>
      <c r="E555" s="40"/>
      <c r="F555" s="40"/>
    </row>
    <row r="556" spans="1:6" hidden="1">
      <c r="A556" s="23"/>
      <c r="B556" s="913"/>
      <c r="C556" s="23"/>
      <c r="D556" s="1162"/>
      <c r="E556" s="40"/>
      <c r="F556" s="40"/>
    </row>
    <row r="557" spans="1:6" hidden="1">
      <c r="A557" s="23"/>
      <c r="B557" s="913"/>
      <c r="C557" s="23"/>
      <c r="D557" s="1162"/>
      <c r="E557" s="40"/>
      <c r="F557" s="40"/>
    </row>
    <row r="558" spans="1:6" hidden="1">
      <c r="A558" s="23"/>
      <c r="B558" s="913"/>
      <c r="C558" s="23"/>
      <c r="D558" s="1162"/>
      <c r="E558" s="40"/>
      <c r="F558" s="40"/>
    </row>
    <row r="559" spans="1:6" hidden="1">
      <c r="A559" s="23"/>
      <c r="B559" s="913"/>
      <c r="C559" s="23"/>
      <c r="D559" s="1162"/>
      <c r="E559" s="40"/>
      <c r="F559" s="40"/>
    </row>
    <row r="560" spans="1:6" hidden="1">
      <c r="A560" s="23"/>
      <c r="B560" s="913"/>
      <c r="C560" s="23"/>
      <c r="D560" s="1162"/>
      <c r="E560" s="40"/>
      <c r="F560" s="40"/>
    </row>
    <row r="561" spans="1:6" hidden="1">
      <c r="A561" s="23"/>
      <c r="B561" s="913"/>
      <c r="C561" s="23"/>
      <c r="D561" s="1162"/>
      <c r="E561" s="40"/>
      <c r="F561" s="40"/>
    </row>
    <row r="562" spans="1:6" hidden="1">
      <c r="A562" s="23"/>
      <c r="B562" s="913"/>
      <c r="C562" s="23"/>
      <c r="D562" s="1162"/>
      <c r="E562" s="40"/>
      <c r="F562" s="40"/>
    </row>
    <row r="563" spans="1:6" hidden="1">
      <c r="A563" s="23"/>
      <c r="B563" s="913"/>
      <c r="C563" s="23"/>
      <c r="D563" s="1162"/>
      <c r="E563" s="40"/>
      <c r="F563" s="40"/>
    </row>
    <row r="564" spans="1:6" hidden="1">
      <c r="A564" s="23"/>
      <c r="B564" s="913"/>
      <c r="C564" s="23"/>
      <c r="D564" s="1162"/>
      <c r="E564" s="40"/>
      <c r="F564" s="40"/>
    </row>
    <row r="565" spans="1:6" hidden="1">
      <c r="A565" s="23"/>
      <c r="B565" s="913"/>
      <c r="C565" s="23"/>
      <c r="D565" s="1162"/>
      <c r="E565" s="40"/>
      <c r="F565" s="40"/>
    </row>
    <row r="566" spans="1:6" hidden="1">
      <c r="A566" s="23"/>
      <c r="B566" s="913"/>
      <c r="C566" s="23"/>
      <c r="D566" s="1162"/>
      <c r="E566" s="40"/>
      <c r="F566" s="40"/>
    </row>
    <row r="567" spans="1:6" hidden="1">
      <c r="A567" s="23"/>
      <c r="B567" s="913"/>
      <c r="C567" s="23"/>
      <c r="D567" s="1162"/>
      <c r="E567" s="40"/>
      <c r="F567" s="40"/>
    </row>
    <row r="568" spans="1:6" hidden="1">
      <c r="A568" s="23"/>
      <c r="B568" s="913"/>
      <c r="C568" s="23"/>
      <c r="D568" s="1162"/>
      <c r="E568" s="40"/>
      <c r="F568" s="40"/>
    </row>
    <row r="569" spans="1:6" hidden="1">
      <c r="A569" s="23"/>
      <c r="B569" s="913"/>
      <c r="C569" s="23"/>
      <c r="D569" s="1162"/>
      <c r="E569" s="40"/>
      <c r="F569" s="40"/>
    </row>
    <row r="570" spans="1:6" hidden="1">
      <c r="A570" s="23"/>
      <c r="B570" s="913"/>
      <c r="C570" s="23"/>
      <c r="D570" s="1162"/>
      <c r="E570" s="40"/>
      <c r="F570" s="40"/>
    </row>
    <row r="571" spans="1:6" hidden="1">
      <c r="A571" s="23"/>
      <c r="B571" s="913"/>
      <c r="C571" s="23"/>
      <c r="D571" s="1162"/>
      <c r="E571" s="40"/>
      <c r="F571" s="40"/>
    </row>
    <row r="572" spans="1:6" hidden="1">
      <c r="A572" s="23"/>
      <c r="B572" s="913"/>
      <c r="C572" s="23"/>
      <c r="D572" s="1162"/>
      <c r="E572" s="40"/>
      <c r="F572" s="40"/>
    </row>
    <row r="573" spans="1:6" hidden="1">
      <c r="A573" s="23"/>
      <c r="B573" s="913"/>
      <c r="C573" s="23"/>
      <c r="D573" s="1162"/>
      <c r="E573" s="40"/>
      <c r="F573" s="40"/>
    </row>
    <row r="574" spans="1:6" hidden="1">
      <c r="A574" s="23"/>
      <c r="B574" s="913"/>
      <c r="C574" s="23"/>
      <c r="D574" s="1162"/>
      <c r="E574" s="40"/>
      <c r="F574" s="40"/>
    </row>
    <row r="575" spans="1:6" hidden="1">
      <c r="A575" s="23"/>
      <c r="B575" s="913"/>
      <c r="C575" s="23"/>
      <c r="D575" s="1162"/>
      <c r="E575" s="40"/>
      <c r="F575" s="40"/>
    </row>
    <row r="576" spans="1:6" hidden="1">
      <c r="A576" s="23"/>
      <c r="B576" s="913"/>
      <c r="C576" s="23"/>
      <c r="D576" s="1162"/>
      <c r="E576" s="40"/>
      <c r="F576" s="40"/>
    </row>
    <row r="577" spans="1:6" hidden="1">
      <c r="A577" s="23"/>
      <c r="B577" s="913"/>
      <c r="C577" s="23"/>
      <c r="D577" s="1162"/>
      <c r="E577" s="40"/>
      <c r="F577" s="40"/>
    </row>
    <row r="578" spans="1:6" hidden="1">
      <c r="A578" s="23"/>
      <c r="B578" s="913"/>
      <c r="C578" s="23"/>
      <c r="D578" s="1162"/>
      <c r="E578" s="40"/>
      <c r="F578" s="40"/>
    </row>
    <row r="579" spans="1:6" hidden="1">
      <c r="A579" s="23"/>
      <c r="B579" s="913"/>
      <c r="C579" s="23"/>
      <c r="D579" s="1162"/>
      <c r="E579" s="40"/>
      <c r="F579" s="40"/>
    </row>
    <row r="580" spans="1:6" hidden="1">
      <c r="A580" s="23"/>
      <c r="B580" s="913"/>
      <c r="C580" s="23"/>
      <c r="D580" s="1162"/>
      <c r="E580" s="40"/>
      <c r="F580" s="40"/>
    </row>
    <row r="581" spans="1:6" hidden="1">
      <c r="A581" s="23"/>
      <c r="B581" s="913"/>
      <c r="C581" s="23"/>
      <c r="D581" s="1162"/>
      <c r="E581" s="40"/>
      <c r="F581" s="40"/>
    </row>
    <row r="582" spans="1:6" hidden="1">
      <c r="A582" s="23"/>
      <c r="B582" s="913"/>
      <c r="C582" s="23"/>
      <c r="D582" s="1162"/>
      <c r="E582" s="40"/>
      <c r="F582" s="40"/>
    </row>
    <row r="583" spans="1:6" hidden="1">
      <c r="A583" s="23"/>
      <c r="B583" s="913"/>
      <c r="C583" s="23"/>
      <c r="D583" s="1162"/>
      <c r="E583" s="40"/>
      <c r="F583" s="40"/>
    </row>
    <row r="584" spans="1:6" hidden="1">
      <c r="A584" s="23"/>
      <c r="B584" s="913"/>
      <c r="C584" s="23"/>
      <c r="D584" s="1162"/>
      <c r="E584" s="40"/>
      <c r="F584" s="40"/>
    </row>
    <row r="585" spans="1:6" hidden="1">
      <c r="A585" s="23"/>
      <c r="B585" s="913"/>
      <c r="C585" s="23"/>
      <c r="D585" s="1162"/>
      <c r="E585" s="40"/>
      <c r="F585" s="40"/>
    </row>
    <row r="586" spans="1:6" hidden="1">
      <c r="A586" s="23"/>
      <c r="B586" s="913"/>
      <c r="C586" s="23"/>
      <c r="D586" s="1162"/>
      <c r="E586" s="40"/>
      <c r="F586" s="40"/>
    </row>
    <row r="587" spans="1:6" hidden="1">
      <c r="A587" s="23"/>
      <c r="B587" s="913"/>
      <c r="C587" s="23"/>
      <c r="D587" s="1162"/>
      <c r="E587" s="40"/>
      <c r="F587" s="40"/>
    </row>
    <row r="588" spans="1:6" hidden="1">
      <c r="A588" s="23"/>
      <c r="B588" s="913"/>
      <c r="C588" s="23"/>
      <c r="D588" s="1162"/>
      <c r="E588" s="40"/>
      <c r="F588" s="40"/>
    </row>
    <row r="589" spans="1:6" hidden="1">
      <c r="A589" s="23"/>
      <c r="B589" s="913"/>
      <c r="C589" s="23"/>
      <c r="D589" s="1162"/>
      <c r="E589" s="40"/>
      <c r="F589" s="40"/>
    </row>
    <row r="590" spans="1:6" hidden="1">
      <c r="A590" s="23"/>
      <c r="B590" s="913"/>
      <c r="C590" s="23"/>
      <c r="D590" s="1162"/>
      <c r="E590" s="40"/>
      <c r="F590" s="40"/>
    </row>
    <row r="591" spans="1:6" hidden="1">
      <c r="A591" s="23"/>
      <c r="B591" s="913"/>
      <c r="C591" s="23"/>
      <c r="D591" s="1162"/>
      <c r="E591" s="40"/>
      <c r="F591" s="40"/>
    </row>
    <row r="592" spans="1:6" hidden="1">
      <c r="A592" s="23"/>
      <c r="B592" s="913"/>
      <c r="C592" s="23"/>
      <c r="D592" s="1162"/>
      <c r="E592" s="40"/>
      <c r="F592" s="40"/>
    </row>
    <row r="593" spans="1:6" hidden="1">
      <c r="A593" s="23"/>
      <c r="B593" s="913"/>
      <c r="C593" s="23"/>
      <c r="D593" s="1162"/>
      <c r="E593" s="40"/>
      <c r="F593" s="40"/>
    </row>
    <row r="594" spans="1:6" hidden="1">
      <c r="A594" s="23"/>
      <c r="B594" s="913"/>
      <c r="C594" s="23"/>
      <c r="D594" s="1162"/>
      <c r="E594" s="40"/>
      <c r="F594" s="40"/>
    </row>
    <row r="595" spans="1:6" hidden="1">
      <c r="A595" s="23"/>
      <c r="B595" s="913"/>
      <c r="C595" s="23"/>
      <c r="D595" s="1162"/>
      <c r="E595" s="40"/>
      <c r="F595" s="40"/>
    </row>
    <row r="596" spans="1:6" hidden="1">
      <c r="A596" s="23"/>
      <c r="B596" s="913"/>
      <c r="C596" s="23"/>
      <c r="D596" s="1162"/>
      <c r="E596" s="40"/>
      <c r="F596" s="40"/>
    </row>
    <row r="597" spans="1:6" hidden="1">
      <c r="A597" s="23"/>
      <c r="B597" s="913"/>
      <c r="C597" s="23"/>
      <c r="D597" s="1162"/>
      <c r="E597" s="40"/>
      <c r="F597" s="40"/>
    </row>
    <row r="598" spans="1:6" hidden="1">
      <c r="A598" s="23"/>
      <c r="B598" s="913"/>
      <c r="C598" s="23"/>
      <c r="D598" s="1162"/>
      <c r="E598" s="40"/>
      <c r="F598" s="40"/>
    </row>
    <row r="599" spans="1:6" hidden="1">
      <c r="A599" s="23"/>
      <c r="B599" s="913"/>
      <c r="C599" s="23"/>
      <c r="D599" s="1162"/>
      <c r="E599" s="40"/>
      <c r="F599" s="40"/>
    </row>
    <row r="600" spans="1:6" hidden="1">
      <c r="A600" s="23"/>
      <c r="B600" s="913"/>
      <c r="C600" s="23"/>
      <c r="D600" s="1162"/>
      <c r="E600" s="40"/>
      <c r="F600" s="40"/>
    </row>
    <row r="601" spans="1:6" hidden="1">
      <c r="A601" s="23"/>
      <c r="B601" s="913"/>
      <c r="C601" s="23"/>
      <c r="D601" s="1162"/>
      <c r="E601" s="40"/>
      <c r="F601" s="40"/>
    </row>
    <row r="602" spans="1:6" hidden="1">
      <c r="A602" s="23"/>
      <c r="B602" s="913"/>
      <c r="C602" s="23"/>
      <c r="D602" s="1162"/>
      <c r="E602" s="40"/>
      <c r="F602" s="40"/>
    </row>
    <row r="603" spans="1:6" hidden="1">
      <c r="A603" s="23"/>
      <c r="B603" s="913"/>
      <c r="C603" s="23"/>
      <c r="D603" s="1162"/>
      <c r="E603" s="40"/>
      <c r="F603" s="40"/>
    </row>
    <row r="604" spans="1:6" hidden="1">
      <c r="A604" s="23"/>
      <c r="B604" s="913"/>
      <c r="C604" s="23"/>
      <c r="D604" s="1162"/>
      <c r="E604" s="40"/>
      <c r="F604" s="40"/>
    </row>
    <row r="605" spans="1:6" hidden="1">
      <c r="A605" s="23"/>
      <c r="B605" s="913"/>
      <c r="C605" s="23"/>
      <c r="D605" s="1162"/>
      <c r="E605" s="40"/>
      <c r="F605" s="40"/>
    </row>
    <row r="606" spans="1:6" hidden="1">
      <c r="A606" s="23"/>
      <c r="B606" s="913"/>
      <c r="C606" s="23"/>
      <c r="D606" s="1162"/>
      <c r="E606" s="40"/>
      <c r="F606" s="40"/>
    </row>
    <row r="607" spans="1:6" hidden="1">
      <c r="A607" s="23"/>
      <c r="B607" s="913"/>
      <c r="C607" s="23"/>
      <c r="D607" s="1162"/>
      <c r="E607" s="40"/>
      <c r="F607" s="40"/>
    </row>
    <row r="608" spans="1:6" hidden="1">
      <c r="A608" s="23"/>
      <c r="B608" s="913"/>
      <c r="C608" s="23"/>
      <c r="D608" s="1162"/>
      <c r="E608" s="40"/>
      <c r="F608" s="40"/>
    </row>
    <row r="609" spans="1:6" hidden="1">
      <c r="A609" s="23"/>
      <c r="B609" s="913"/>
      <c r="C609" s="23"/>
      <c r="D609" s="1162"/>
      <c r="E609" s="40"/>
      <c r="F609" s="40"/>
    </row>
    <row r="610" spans="1:6" hidden="1">
      <c r="A610" s="23"/>
      <c r="B610" s="913"/>
      <c r="C610" s="23"/>
      <c r="D610" s="1162"/>
      <c r="E610" s="40"/>
      <c r="F610" s="40"/>
    </row>
    <row r="611" spans="1:6" hidden="1">
      <c r="A611" s="23"/>
      <c r="B611" s="913"/>
      <c r="C611" s="23"/>
      <c r="D611" s="1162"/>
      <c r="E611" s="40"/>
      <c r="F611" s="40"/>
    </row>
    <row r="612" spans="1:6" hidden="1">
      <c r="A612" s="23"/>
      <c r="B612" s="913"/>
      <c r="C612" s="23"/>
      <c r="D612" s="1162"/>
      <c r="E612" s="40"/>
      <c r="F612" s="40"/>
    </row>
    <row r="613" spans="1:6" hidden="1">
      <c r="A613" s="23"/>
      <c r="B613" s="913"/>
      <c r="C613" s="23"/>
      <c r="D613" s="1162"/>
      <c r="E613" s="40"/>
      <c r="F613" s="40"/>
    </row>
    <row r="614" spans="1:6" hidden="1">
      <c r="A614" s="23"/>
      <c r="B614" s="913"/>
      <c r="C614" s="23"/>
      <c r="D614" s="1162"/>
      <c r="E614" s="40"/>
      <c r="F614" s="40"/>
    </row>
    <row r="615" spans="1:6" hidden="1">
      <c r="A615" s="23"/>
      <c r="B615" s="913"/>
      <c r="C615" s="23"/>
      <c r="D615" s="1162"/>
      <c r="E615" s="40"/>
      <c r="F615" s="40"/>
    </row>
    <row r="616" spans="1:6" hidden="1">
      <c r="A616" s="23"/>
      <c r="B616" s="913"/>
      <c r="C616" s="23"/>
      <c r="D616" s="1162"/>
      <c r="E616" s="40"/>
      <c r="F616" s="40"/>
    </row>
    <row r="617" spans="1:6" hidden="1">
      <c r="A617" s="23"/>
      <c r="B617" s="913"/>
      <c r="C617" s="23"/>
      <c r="D617" s="1162"/>
      <c r="E617" s="40"/>
      <c r="F617" s="40"/>
    </row>
    <row r="618" spans="1:6" hidden="1">
      <c r="A618" s="23"/>
      <c r="B618" s="913"/>
      <c r="C618" s="23"/>
      <c r="D618" s="1162"/>
      <c r="E618" s="40"/>
      <c r="F618" s="40"/>
    </row>
    <row r="619" spans="1:6" hidden="1">
      <c r="A619" s="23"/>
      <c r="B619" s="913"/>
      <c r="C619" s="23"/>
      <c r="D619" s="1162"/>
      <c r="E619" s="40"/>
      <c r="F619" s="40"/>
    </row>
    <row r="620" spans="1:6" hidden="1">
      <c r="A620" s="23"/>
      <c r="B620" s="913"/>
      <c r="C620" s="23"/>
      <c r="D620" s="1162"/>
      <c r="E620" s="40"/>
      <c r="F620" s="40"/>
    </row>
    <row r="621" spans="1:6" hidden="1">
      <c r="A621" s="23"/>
      <c r="B621" s="913"/>
      <c r="C621" s="23"/>
      <c r="D621" s="1162"/>
      <c r="E621" s="40"/>
      <c r="F621" s="40"/>
    </row>
    <row r="622" spans="1:6" hidden="1">
      <c r="A622" s="23"/>
      <c r="B622" s="913"/>
      <c r="C622" s="23"/>
      <c r="D622" s="1162"/>
      <c r="E622" s="40"/>
      <c r="F622" s="40"/>
    </row>
    <row r="623" spans="1:6" hidden="1">
      <c r="A623" s="23"/>
      <c r="B623" s="913"/>
      <c r="C623" s="23"/>
      <c r="D623" s="1162"/>
      <c r="E623" s="40"/>
      <c r="F623" s="40"/>
    </row>
    <row r="624" spans="1:6" hidden="1">
      <c r="A624" s="23"/>
      <c r="B624" s="913"/>
      <c r="C624" s="23"/>
      <c r="D624" s="1162"/>
      <c r="E624" s="40"/>
      <c r="F624" s="40"/>
    </row>
    <row r="625" spans="1:6" hidden="1">
      <c r="A625" s="23"/>
      <c r="B625" s="913"/>
      <c r="C625" s="23"/>
      <c r="D625" s="1162"/>
      <c r="E625" s="40"/>
      <c r="F625" s="40"/>
    </row>
    <row r="626" spans="1:6" hidden="1">
      <c r="A626" s="23"/>
      <c r="B626" s="913"/>
      <c r="C626" s="23"/>
      <c r="D626" s="1162"/>
      <c r="E626" s="40"/>
      <c r="F626" s="40"/>
    </row>
    <row r="627" spans="1:6" hidden="1">
      <c r="A627" s="23"/>
      <c r="B627" s="913"/>
      <c r="C627" s="23"/>
      <c r="D627" s="1162"/>
      <c r="E627" s="40"/>
      <c r="F627" s="40"/>
    </row>
    <row r="628" spans="1:6" hidden="1">
      <c r="A628" s="23"/>
      <c r="B628" s="913"/>
      <c r="C628" s="23"/>
      <c r="D628" s="1162"/>
      <c r="E628" s="40"/>
      <c r="F628" s="40"/>
    </row>
    <row r="629" spans="1:6" hidden="1">
      <c r="A629" s="23"/>
      <c r="B629" s="913"/>
      <c r="C629" s="23"/>
      <c r="D629" s="1162"/>
      <c r="E629" s="40"/>
      <c r="F629" s="40"/>
    </row>
    <row r="630" spans="1:6" hidden="1">
      <c r="A630" s="23"/>
      <c r="B630" s="913"/>
      <c r="C630" s="23"/>
      <c r="D630" s="1162"/>
      <c r="E630" s="40"/>
      <c r="F630" s="40"/>
    </row>
    <row r="631" spans="1:6" hidden="1">
      <c r="A631" s="23"/>
      <c r="B631" s="913"/>
      <c r="C631" s="23"/>
      <c r="D631" s="1162"/>
      <c r="E631" s="40"/>
      <c r="F631" s="40"/>
    </row>
    <row r="632" spans="1:6" hidden="1">
      <c r="A632" s="23"/>
      <c r="B632" s="913"/>
      <c r="C632" s="23"/>
      <c r="D632" s="1162"/>
      <c r="E632" s="40"/>
      <c r="F632" s="40"/>
    </row>
    <row r="633" spans="1:6" hidden="1">
      <c r="A633" s="23"/>
      <c r="B633" s="913"/>
      <c r="C633" s="23"/>
      <c r="D633" s="1162"/>
      <c r="E633" s="40"/>
      <c r="F633" s="40"/>
    </row>
    <row r="634" spans="1:6" hidden="1">
      <c r="A634" s="23"/>
      <c r="B634" s="913"/>
      <c r="C634" s="23"/>
      <c r="D634" s="1162"/>
      <c r="E634" s="40"/>
      <c r="F634" s="40"/>
    </row>
    <row r="635" spans="1:6" hidden="1">
      <c r="A635" s="23"/>
      <c r="B635" s="913"/>
      <c r="C635" s="23"/>
      <c r="D635" s="1162"/>
      <c r="E635" s="40"/>
      <c r="F635" s="40"/>
    </row>
    <row r="636" spans="1:6" hidden="1">
      <c r="A636" s="23"/>
      <c r="B636" s="913"/>
      <c r="C636" s="23"/>
      <c r="D636" s="1162"/>
      <c r="E636" s="40"/>
      <c r="F636" s="40"/>
    </row>
    <row r="637" spans="1:6" hidden="1">
      <c r="A637" s="23"/>
      <c r="B637" s="913"/>
      <c r="C637" s="23"/>
      <c r="D637" s="1162"/>
      <c r="E637" s="40"/>
      <c r="F637" s="40"/>
    </row>
    <row r="638" spans="1:6" hidden="1">
      <c r="A638" s="23"/>
      <c r="B638" s="913"/>
      <c r="C638" s="23"/>
      <c r="D638" s="1162"/>
      <c r="E638" s="40"/>
      <c r="F638" s="40"/>
    </row>
    <row r="639" spans="1:6" hidden="1">
      <c r="A639" s="23"/>
      <c r="B639" s="913"/>
      <c r="C639" s="23"/>
      <c r="D639" s="1162"/>
      <c r="E639" s="40"/>
      <c r="F639" s="40"/>
    </row>
    <row r="640" spans="1:6" hidden="1">
      <c r="A640" s="23"/>
      <c r="B640" s="913"/>
      <c r="C640" s="23"/>
      <c r="D640" s="1162"/>
      <c r="E640" s="40"/>
      <c r="F640" s="40"/>
    </row>
    <row r="641" spans="1:6" hidden="1">
      <c r="A641" s="23"/>
      <c r="B641" s="913"/>
      <c r="C641" s="23"/>
      <c r="D641" s="1162"/>
      <c r="E641" s="40"/>
      <c r="F641" s="40"/>
    </row>
    <row r="642" spans="1:6" hidden="1">
      <c r="A642" s="23"/>
      <c r="B642" s="913"/>
      <c r="C642" s="23"/>
      <c r="D642" s="1162"/>
      <c r="E642" s="40"/>
      <c r="F642" s="40"/>
    </row>
    <row r="643" spans="1:6" hidden="1">
      <c r="A643" s="23"/>
      <c r="B643" s="913"/>
      <c r="C643" s="23"/>
      <c r="D643" s="1162"/>
      <c r="E643" s="40"/>
      <c r="F643" s="40"/>
    </row>
    <row r="644" spans="1:6" hidden="1">
      <c r="A644" s="23"/>
      <c r="B644" s="913"/>
      <c r="C644" s="23"/>
      <c r="D644" s="1162"/>
      <c r="E644" s="40"/>
      <c r="F644" s="40"/>
    </row>
    <row r="645" spans="1:6" hidden="1">
      <c r="A645" s="23"/>
      <c r="B645" s="913"/>
      <c r="C645" s="23"/>
      <c r="D645" s="1162"/>
      <c r="E645" s="40"/>
      <c r="F645" s="40"/>
    </row>
    <row r="646" spans="1:6" hidden="1">
      <c r="A646" s="23"/>
      <c r="B646" s="913"/>
      <c r="C646" s="23"/>
      <c r="D646" s="1162"/>
      <c r="E646" s="40"/>
      <c r="F646" s="40"/>
    </row>
    <row r="647" spans="1:6" hidden="1">
      <c r="A647" s="23"/>
      <c r="B647" s="913"/>
      <c r="C647" s="23"/>
      <c r="D647" s="1162"/>
      <c r="E647" s="40"/>
      <c r="F647" s="40"/>
    </row>
    <row r="648" spans="1:6" hidden="1">
      <c r="A648" s="23"/>
      <c r="B648" s="913"/>
      <c r="C648" s="23"/>
      <c r="D648" s="1162"/>
      <c r="E648" s="40"/>
      <c r="F648" s="40"/>
    </row>
    <row r="649" spans="1:6" hidden="1">
      <c r="A649" s="23"/>
      <c r="B649" s="913"/>
      <c r="C649" s="23"/>
      <c r="D649" s="1162"/>
      <c r="E649" s="40"/>
      <c r="F649" s="40"/>
    </row>
    <row r="650" spans="1:6" hidden="1">
      <c r="A650" s="23"/>
      <c r="B650" s="913"/>
      <c r="C650" s="23"/>
      <c r="D650" s="1162"/>
      <c r="E650" s="40"/>
      <c r="F650" s="40"/>
    </row>
    <row r="651" spans="1:6" hidden="1">
      <c r="A651" s="23"/>
      <c r="B651" s="913"/>
      <c r="C651" s="23"/>
      <c r="D651" s="1162"/>
      <c r="E651" s="40"/>
      <c r="F651" s="40"/>
    </row>
    <row r="652" spans="1:6" hidden="1">
      <c r="A652" s="23"/>
      <c r="B652" s="913"/>
      <c r="C652" s="23"/>
      <c r="D652" s="1162"/>
      <c r="E652" s="40"/>
      <c r="F652" s="40"/>
    </row>
    <row r="653" spans="1:6" hidden="1">
      <c r="A653" s="23"/>
      <c r="B653" s="913"/>
      <c r="C653" s="23"/>
      <c r="D653" s="1162"/>
      <c r="E653" s="40"/>
      <c r="F653" s="40"/>
    </row>
    <row r="654" spans="1:6" hidden="1">
      <c r="A654" s="23"/>
      <c r="B654" s="913"/>
      <c r="C654" s="23"/>
      <c r="D654" s="1162"/>
      <c r="E654" s="40"/>
      <c r="F654" s="40"/>
    </row>
    <row r="655" spans="1:6" hidden="1">
      <c r="A655" s="23"/>
      <c r="B655" s="913"/>
      <c r="C655" s="23"/>
      <c r="D655" s="1162"/>
      <c r="E655" s="40"/>
      <c r="F655" s="40"/>
    </row>
    <row r="656" spans="1:6" hidden="1">
      <c r="A656" s="23"/>
      <c r="B656" s="913"/>
      <c r="C656" s="23"/>
      <c r="D656" s="1162"/>
      <c r="E656" s="40"/>
      <c r="F656" s="40"/>
    </row>
    <row r="657" spans="1:6" hidden="1">
      <c r="A657" s="23"/>
      <c r="B657" s="913"/>
      <c r="C657" s="23"/>
      <c r="D657" s="1162"/>
      <c r="E657" s="40"/>
      <c r="F657" s="40"/>
    </row>
    <row r="658" spans="1:6" hidden="1">
      <c r="A658" s="23"/>
      <c r="B658" s="913"/>
      <c r="C658" s="23"/>
      <c r="D658" s="1162"/>
      <c r="E658" s="40"/>
      <c r="F658" s="40"/>
    </row>
    <row r="659" spans="1:6" hidden="1">
      <c r="A659" s="23"/>
      <c r="B659" s="913"/>
      <c r="C659" s="23"/>
      <c r="D659" s="1162"/>
      <c r="E659" s="40"/>
      <c r="F659" s="40"/>
    </row>
    <row r="660" spans="1:6" hidden="1">
      <c r="A660" s="23"/>
      <c r="B660" s="913"/>
      <c r="C660" s="23"/>
      <c r="D660" s="1162"/>
      <c r="E660" s="40"/>
      <c r="F660" s="40"/>
    </row>
    <row r="661" spans="1:6" hidden="1">
      <c r="A661" s="23"/>
      <c r="B661" s="913"/>
      <c r="C661" s="23"/>
      <c r="D661" s="1162"/>
      <c r="E661" s="40"/>
      <c r="F661" s="40"/>
    </row>
    <row r="662" spans="1:6" hidden="1">
      <c r="A662" s="23"/>
      <c r="B662" s="913"/>
      <c r="C662" s="23"/>
      <c r="D662" s="1162"/>
      <c r="E662" s="40"/>
      <c r="F662" s="40"/>
    </row>
    <row r="663" spans="1:6" hidden="1">
      <c r="A663" s="23"/>
      <c r="B663" s="913"/>
      <c r="C663" s="23"/>
      <c r="D663" s="1162"/>
      <c r="E663" s="40"/>
      <c r="F663" s="40"/>
    </row>
    <row r="664" spans="1:6" hidden="1">
      <c r="A664" s="23"/>
      <c r="B664" s="913"/>
      <c r="C664" s="23"/>
      <c r="D664" s="1162"/>
      <c r="E664" s="40"/>
      <c r="F664" s="40"/>
    </row>
    <row r="665" spans="1:6" hidden="1">
      <c r="A665" s="23"/>
      <c r="B665" s="913"/>
      <c r="C665" s="23"/>
      <c r="D665" s="1162"/>
      <c r="E665" s="40"/>
      <c r="F665" s="40"/>
    </row>
    <row r="666" spans="1:6" hidden="1">
      <c r="A666" s="23"/>
      <c r="B666" s="913"/>
      <c r="C666" s="23"/>
      <c r="D666" s="1162"/>
      <c r="E666" s="40"/>
      <c r="F666" s="40"/>
    </row>
    <row r="667" spans="1:6" hidden="1">
      <c r="A667" s="23"/>
      <c r="B667" s="913"/>
      <c r="C667" s="23"/>
      <c r="D667" s="1162"/>
      <c r="E667" s="40"/>
      <c r="F667" s="40"/>
    </row>
    <row r="668" spans="1:6" hidden="1">
      <c r="A668" s="23"/>
      <c r="B668" s="913"/>
      <c r="C668" s="23"/>
      <c r="D668" s="1162"/>
      <c r="E668" s="40"/>
      <c r="F668" s="40"/>
    </row>
    <row r="669" spans="1:6" hidden="1">
      <c r="A669" s="23"/>
      <c r="B669" s="913"/>
      <c r="C669" s="23"/>
      <c r="D669" s="1162"/>
      <c r="E669" s="40"/>
      <c r="F669" s="40"/>
    </row>
    <row r="670" spans="1:6" hidden="1">
      <c r="A670" s="23"/>
      <c r="B670" s="913"/>
      <c r="C670" s="23"/>
      <c r="D670" s="1162"/>
      <c r="E670" s="40"/>
      <c r="F670" s="40"/>
    </row>
    <row r="671" spans="1:6" hidden="1">
      <c r="A671" s="23"/>
      <c r="B671" s="913"/>
      <c r="C671" s="23"/>
      <c r="D671" s="1162"/>
      <c r="E671" s="40"/>
      <c r="F671" s="40"/>
    </row>
    <row r="672" spans="1:6" hidden="1">
      <c r="A672" s="23"/>
      <c r="B672" s="913"/>
      <c r="C672" s="23"/>
      <c r="D672" s="1162"/>
      <c r="E672" s="40"/>
      <c r="F672" s="40"/>
    </row>
    <row r="673" spans="1:6" hidden="1">
      <c r="A673" s="23"/>
      <c r="B673" s="913"/>
      <c r="C673" s="23"/>
      <c r="D673" s="1162"/>
      <c r="E673" s="40"/>
      <c r="F673" s="40"/>
    </row>
    <row r="674" spans="1:6" hidden="1">
      <c r="A674" s="23"/>
      <c r="B674" s="913"/>
      <c r="C674" s="23"/>
      <c r="D674" s="1162"/>
      <c r="E674" s="40"/>
      <c r="F674" s="40"/>
    </row>
    <row r="675" spans="1:6" hidden="1">
      <c r="A675" s="23"/>
      <c r="B675" s="913"/>
      <c r="C675" s="23"/>
      <c r="D675" s="1162"/>
      <c r="E675" s="40"/>
      <c r="F675" s="40"/>
    </row>
    <row r="676" spans="1:6" hidden="1">
      <c r="A676" s="23"/>
      <c r="B676" s="913"/>
      <c r="C676" s="23"/>
      <c r="D676" s="1162"/>
      <c r="E676" s="40"/>
      <c r="F676" s="40"/>
    </row>
    <row r="677" spans="1:6" hidden="1">
      <c r="A677" s="23"/>
      <c r="B677" s="913"/>
      <c r="C677" s="23"/>
      <c r="D677" s="1162"/>
      <c r="E677" s="40"/>
      <c r="F677" s="40"/>
    </row>
    <row r="678" spans="1:6" hidden="1">
      <c r="A678" s="23"/>
      <c r="B678" s="913"/>
      <c r="C678" s="23"/>
      <c r="D678" s="1162"/>
      <c r="E678" s="40"/>
      <c r="F678" s="40"/>
    </row>
    <row r="679" spans="1:6" hidden="1">
      <c r="A679" s="23"/>
      <c r="B679" s="913"/>
      <c r="C679" s="23"/>
      <c r="D679" s="1162"/>
      <c r="E679" s="40"/>
      <c r="F679" s="40"/>
    </row>
    <row r="680" spans="1:6" hidden="1">
      <c r="A680" s="23"/>
      <c r="B680" s="913"/>
      <c r="C680" s="23"/>
      <c r="D680" s="1162"/>
      <c r="E680" s="40"/>
      <c r="F680" s="40"/>
    </row>
    <row r="681" spans="1:6" hidden="1">
      <c r="A681" s="23"/>
      <c r="B681" s="913"/>
      <c r="C681" s="23"/>
      <c r="D681" s="1162"/>
      <c r="E681" s="40"/>
      <c r="F681" s="40"/>
    </row>
    <row r="682" spans="1:6" hidden="1">
      <c r="A682" s="23"/>
      <c r="B682" s="913"/>
      <c r="C682" s="23"/>
      <c r="D682" s="1162"/>
      <c r="E682" s="40"/>
      <c r="F682" s="40"/>
    </row>
    <row r="683" spans="1:6" hidden="1">
      <c r="A683" s="23"/>
      <c r="B683" s="913"/>
      <c r="C683" s="23"/>
      <c r="D683" s="1162"/>
      <c r="E683" s="40"/>
      <c r="F683" s="40"/>
    </row>
    <row r="684" spans="1:6" hidden="1">
      <c r="A684" s="23"/>
      <c r="B684" s="913"/>
      <c r="C684" s="23"/>
      <c r="D684" s="1162"/>
      <c r="E684" s="40"/>
      <c r="F684" s="40"/>
    </row>
    <row r="685" spans="1:6" hidden="1">
      <c r="A685" s="23"/>
      <c r="B685" s="913"/>
      <c r="C685" s="23"/>
      <c r="D685" s="1162"/>
      <c r="E685" s="40"/>
      <c r="F685" s="40"/>
    </row>
    <row r="686" spans="1:6" hidden="1">
      <c r="A686" s="23"/>
      <c r="B686" s="913"/>
      <c r="C686" s="23"/>
      <c r="D686" s="1162"/>
      <c r="E686" s="40"/>
      <c r="F686" s="40"/>
    </row>
    <row r="687" spans="1:6" hidden="1">
      <c r="A687" s="23"/>
      <c r="B687" s="913"/>
      <c r="C687" s="23"/>
      <c r="D687" s="1162"/>
      <c r="E687" s="40"/>
      <c r="F687" s="40"/>
    </row>
    <row r="688" spans="1:6" hidden="1">
      <c r="A688" s="23"/>
      <c r="B688" s="913"/>
      <c r="C688" s="23"/>
      <c r="D688" s="1162"/>
      <c r="E688" s="40"/>
      <c r="F688" s="40"/>
    </row>
    <row r="689" spans="1:6" hidden="1">
      <c r="A689" s="23"/>
      <c r="B689" s="913"/>
      <c r="C689" s="23"/>
      <c r="D689" s="1162"/>
      <c r="E689" s="40"/>
      <c r="F689" s="40"/>
    </row>
    <row r="690" spans="1:6" hidden="1">
      <c r="A690" s="23"/>
      <c r="B690" s="913"/>
      <c r="C690" s="23"/>
      <c r="D690" s="1162"/>
      <c r="E690" s="40"/>
      <c r="F690" s="40"/>
    </row>
    <row r="691" spans="1:6" hidden="1">
      <c r="A691" s="23"/>
      <c r="B691" s="913"/>
      <c r="C691" s="23"/>
      <c r="D691" s="1162"/>
      <c r="E691" s="40"/>
      <c r="F691" s="40"/>
    </row>
    <row r="692" spans="1:6" hidden="1">
      <c r="A692" s="23"/>
      <c r="B692" s="913"/>
      <c r="C692" s="23"/>
      <c r="D692" s="1162"/>
      <c r="E692" s="40"/>
      <c r="F692" s="40"/>
    </row>
    <row r="693" spans="1:6" hidden="1">
      <c r="A693" s="23"/>
      <c r="B693" s="913"/>
      <c r="C693" s="23"/>
      <c r="D693" s="1162"/>
      <c r="E693" s="40"/>
      <c r="F693" s="40"/>
    </row>
    <row r="694" spans="1:6" hidden="1">
      <c r="A694" s="23"/>
      <c r="B694" s="913"/>
      <c r="C694" s="23"/>
      <c r="D694" s="1162"/>
      <c r="E694" s="40"/>
      <c r="F694" s="40"/>
    </row>
    <row r="695" spans="1:6" hidden="1">
      <c r="A695" s="23"/>
      <c r="B695" s="913"/>
      <c r="C695" s="23"/>
      <c r="D695" s="1162"/>
      <c r="E695" s="40"/>
      <c r="F695" s="40"/>
    </row>
    <row r="696" spans="1:6" hidden="1">
      <c r="A696" s="23"/>
      <c r="B696" s="913"/>
      <c r="C696" s="23"/>
      <c r="D696" s="1162"/>
      <c r="E696" s="40"/>
      <c r="F696" s="40"/>
    </row>
    <row r="697" spans="1:6" hidden="1">
      <c r="A697" s="23"/>
      <c r="B697" s="913"/>
      <c r="C697" s="23"/>
      <c r="D697" s="1162"/>
      <c r="E697" s="40"/>
      <c r="F697" s="40"/>
    </row>
    <row r="698" spans="1:6" hidden="1">
      <c r="A698" s="23"/>
      <c r="B698" s="913"/>
      <c r="C698" s="23"/>
      <c r="D698" s="1162"/>
      <c r="E698" s="40"/>
      <c r="F698" s="40"/>
    </row>
    <row r="699" spans="1:6" hidden="1">
      <c r="A699" s="23"/>
      <c r="B699" s="913"/>
      <c r="C699" s="23"/>
      <c r="D699" s="1162"/>
      <c r="E699" s="40"/>
      <c r="F699" s="40"/>
    </row>
    <row r="700" spans="1:6" hidden="1">
      <c r="A700" s="23"/>
      <c r="B700" s="913"/>
      <c r="C700" s="23"/>
      <c r="D700" s="1162"/>
      <c r="E700" s="40"/>
      <c r="F700" s="40"/>
    </row>
    <row r="701" spans="1:6" hidden="1">
      <c r="A701" s="23"/>
      <c r="B701" s="913"/>
      <c r="C701" s="23"/>
      <c r="D701" s="1162"/>
      <c r="E701" s="40"/>
      <c r="F701" s="40"/>
    </row>
    <row r="702" spans="1:6" hidden="1">
      <c r="A702" s="23"/>
      <c r="B702" s="913"/>
      <c r="C702" s="23"/>
      <c r="D702" s="1162"/>
      <c r="E702" s="40"/>
      <c r="F702" s="40"/>
    </row>
    <row r="703" spans="1:6" hidden="1">
      <c r="A703" s="23"/>
      <c r="B703" s="913"/>
      <c r="C703" s="23"/>
      <c r="D703" s="1162"/>
      <c r="E703" s="40"/>
      <c r="F703" s="40"/>
    </row>
    <row r="704" spans="1:6" hidden="1">
      <c r="A704" s="23"/>
      <c r="B704" s="913"/>
      <c r="C704" s="23"/>
      <c r="D704" s="1162"/>
      <c r="E704" s="40"/>
      <c r="F704" s="40"/>
    </row>
    <row r="705" spans="1:6" hidden="1">
      <c r="A705" s="23"/>
      <c r="B705" s="913"/>
      <c r="C705" s="23"/>
      <c r="D705" s="1162"/>
      <c r="E705" s="40"/>
      <c r="F705" s="40"/>
    </row>
    <row r="706" spans="1:6" hidden="1">
      <c r="A706" s="23"/>
      <c r="B706" s="913"/>
      <c r="C706" s="23"/>
      <c r="D706" s="1162"/>
      <c r="E706" s="40"/>
      <c r="F706" s="40"/>
    </row>
    <row r="707" spans="1:6" hidden="1">
      <c r="A707" s="23"/>
      <c r="B707" s="913"/>
      <c r="C707" s="23"/>
      <c r="D707" s="1162"/>
      <c r="E707" s="40"/>
      <c r="F707" s="40"/>
    </row>
    <row r="708" spans="1:6" hidden="1">
      <c r="A708" s="23"/>
      <c r="B708" s="913"/>
      <c r="C708" s="23"/>
      <c r="D708" s="1162"/>
      <c r="E708" s="40"/>
      <c r="F708" s="40"/>
    </row>
    <row r="709" spans="1:6" hidden="1">
      <c r="A709" s="23"/>
      <c r="B709" s="913"/>
      <c r="C709" s="23"/>
      <c r="D709" s="1162"/>
      <c r="E709" s="40"/>
      <c r="F709" s="40"/>
    </row>
    <row r="710" spans="1:6" hidden="1">
      <c r="A710" s="23"/>
      <c r="B710" s="913"/>
      <c r="C710" s="23"/>
      <c r="D710" s="1162"/>
      <c r="E710" s="40"/>
      <c r="F710" s="40"/>
    </row>
    <row r="711" spans="1:6" hidden="1">
      <c r="A711" s="23"/>
      <c r="B711" s="913"/>
      <c r="C711" s="23"/>
      <c r="D711" s="1162"/>
      <c r="E711" s="40"/>
      <c r="F711" s="40"/>
    </row>
    <row r="712" spans="1:6" hidden="1">
      <c r="A712" s="23"/>
      <c r="B712" s="913"/>
      <c r="C712" s="23"/>
      <c r="D712" s="1162"/>
      <c r="E712" s="40"/>
      <c r="F712" s="40"/>
    </row>
    <row r="713" spans="1:6" hidden="1">
      <c r="A713" s="23"/>
      <c r="B713" s="913"/>
      <c r="C713" s="23"/>
      <c r="D713" s="1162"/>
      <c r="E713" s="40"/>
      <c r="F713" s="40"/>
    </row>
    <row r="714" spans="1:6" hidden="1">
      <c r="A714" s="23"/>
      <c r="B714" s="913"/>
      <c r="C714" s="23"/>
      <c r="D714" s="1162"/>
      <c r="E714" s="40"/>
      <c r="F714" s="40"/>
    </row>
    <row r="715" spans="1:6" hidden="1">
      <c r="A715" s="23"/>
      <c r="B715" s="913"/>
      <c r="C715" s="23"/>
      <c r="D715" s="1162"/>
      <c r="E715" s="40"/>
      <c r="F715" s="40"/>
    </row>
    <row r="716" spans="1:6" hidden="1">
      <c r="A716" s="23"/>
      <c r="B716" s="913"/>
      <c r="C716" s="23"/>
      <c r="D716" s="1162"/>
      <c r="E716" s="40"/>
      <c r="F716" s="40"/>
    </row>
    <row r="717" spans="1:6" hidden="1">
      <c r="A717" s="23"/>
      <c r="B717" s="913"/>
      <c r="C717" s="23"/>
      <c r="D717" s="1162"/>
      <c r="E717" s="40"/>
      <c r="F717" s="40"/>
    </row>
    <row r="718" spans="1:6" hidden="1">
      <c r="A718" s="23"/>
      <c r="B718" s="913"/>
      <c r="C718" s="23"/>
      <c r="D718" s="1162"/>
      <c r="E718" s="40"/>
      <c r="F718" s="40"/>
    </row>
    <row r="719" spans="1:6" hidden="1">
      <c r="A719" s="23"/>
      <c r="B719" s="913"/>
      <c r="C719" s="23"/>
      <c r="D719" s="1162"/>
      <c r="E719" s="40"/>
      <c r="F719" s="40"/>
    </row>
    <row r="720" spans="1:6" hidden="1">
      <c r="A720" s="23"/>
      <c r="B720" s="913"/>
      <c r="C720" s="23"/>
      <c r="D720" s="1162"/>
      <c r="E720" s="40"/>
      <c r="F720" s="40"/>
    </row>
    <row r="721" spans="1:6" hidden="1">
      <c r="A721" s="23"/>
      <c r="B721" s="913"/>
      <c r="C721" s="23"/>
      <c r="D721" s="1162"/>
      <c r="E721" s="40"/>
      <c r="F721" s="40"/>
    </row>
    <row r="722" spans="1:6" hidden="1">
      <c r="A722" s="23"/>
      <c r="B722" s="913"/>
      <c r="C722" s="23"/>
      <c r="D722" s="1162"/>
      <c r="E722" s="40"/>
      <c r="F722" s="40"/>
    </row>
    <row r="723" spans="1:6" hidden="1">
      <c r="A723" s="23"/>
      <c r="B723" s="913"/>
      <c r="C723" s="23"/>
      <c r="D723" s="1162"/>
      <c r="E723" s="40"/>
      <c r="F723" s="40"/>
    </row>
    <row r="724" spans="1:6" hidden="1">
      <c r="A724" s="23"/>
      <c r="B724" s="913"/>
      <c r="C724" s="23"/>
      <c r="D724" s="1162"/>
      <c r="E724" s="40"/>
      <c r="F724" s="40"/>
    </row>
    <row r="725" spans="1:6" hidden="1">
      <c r="A725" s="23"/>
      <c r="B725" s="913"/>
      <c r="C725" s="23"/>
      <c r="D725" s="1162"/>
      <c r="E725" s="40"/>
      <c r="F725" s="40"/>
    </row>
    <row r="726" spans="1:6" hidden="1">
      <c r="A726" s="23"/>
      <c r="B726" s="913"/>
      <c r="C726" s="23"/>
      <c r="D726" s="1162"/>
      <c r="E726" s="40"/>
      <c r="F726" s="40"/>
    </row>
    <row r="727" spans="1:6" hidden="1">
      <c r="A727" s="23"/>
      <c r="B727" s="913"/>
      <c r="C727" s="23"/>
      <c r="D727" s="1162"/>
      <c r="E727" s="40"/>
      <c r="F727" s="40"/>
    </row>
    <row r="728" spans="1:6" hidden="1">
      <c r="A728" s="23"/>
      <c r="B728" s="913"/>
      <c r="C728" s="23"/>
      <c r="D728" s="1162"/>
      <c r="E728" s="40"/>
      <c r="F728" s="40"/>
    </row>
    <row r="729" spans="1:6" hidden="1">
      <c r="A729" s="23"/>
      <c r="B729" s="913"/>
      <c r="C729" s="23"/>
      <c r="D729" s="1162"/>
      <c r="E729" s="40"/>
      <c r="F729" s="40"/>
    </row>
    <row r="730" spans="1:6" hidden="1">
      <c r="A730" s="23"/>
      <c r="B730" s="913"/>
      <c r="C730" s="23"/>
      <c r="D730" s="1162"/>
      <c r="E730" s="40"/>
      <c r="F730" s="40"/>
    </row>
    <row r="731" spans="1:6" hidden="1">
      <c r="A731" s="23"/>
      <c r="B731" s="913"/>
      <c r="C731" s="23"/>
      <c r="D731" s="1162"/>
      <c r="E731" s="40"/>
      <c r="F731" s="40"/>
    </row>
    <row r="732" spans="1:6" hidden="1">
      <c r="A732" s="23"/>
      <c r="B732" s="913"/>
      <c r="C732" s="23"/>
      <c r="D732" s="1162"/>
      <c r="E732" s="40"/>
      <c r="F732" s="40"/>
    </row>
    <row r="733" spans="1:6" hidden="1">
      <c r="A733" s="23"/>
      <c r="B733" s="913"/>
      <c r="C733" s="23"/>
      <c r="D733" s="1162"/>
      <c r="E733" s="40"/>
      <c r="F733" s="40"/>
    </row>
    <row r="734" spans="1:6" hidden="1">
      <c r="A734" s="23"/>
      <c r="B734" s="913"/>
      <c r="C734" s="23"/>
      <c r="D734" s="1162"/>
      <c r="E734" s="40"/>
      <c r="F734" s="40"/>
    </row>
    <row r="735" spans="1:6" hidden="1">
      <c r="A735" s="23"/>
      <c r="B735" s="913"/>
      <c r="C735" s="23"/>
      <c r="D735" s="1162"/>
      <c r="E735" s="40"/>
      <c r="F735" s="40"/>
    </row>
    <row r="736" spans="1:6" hidden="1">
      <c r="A736" s="23"/>
      <c r="B736" s="913"/>
      <c r="C736" s="23"/>
      <c r="D736" s="1162"/>
      <c r="E736" s="40"/>
      <c r="F736" s="40"/>
    </row>
    <row r="737" spans="1:6" hidden="1">
      <c r="A737" s="23"/>
      <c r="B737" s="913"/>
      <c r="C737" s="23"/>
      <c r="D737" s="1162"/>
      <c r="E737" s="40"/>
      <c r="F737" s="40"/>
    </row>
    <row r="738" spans="1:6" hidden="1">
      <c r="A738" s="23"/>
      <c r="B738" s="913"/>
      <c r="C738" s="23"/>
      <c r="D738" s="1162"/>
      <c r="E738" s="40"/>
      <c r="F738" s="40"/>
    </row>
    <row r="739" spans="1:6" hidden="1">
      <c r="A739" s="23"/>
      <c r="B739" s="913"/>
      <c r="C739" s="23"/>
      <c r="D739" s="1162"/>
      <c r="E739" s="40"/>
      <c r="F739" s="40"/>
    </row>
    <row r="740" spans="1:6" hidden="1">
      <c r="A740" s="23"/>
      <c r="B740" s="913"/>
      <c r="C740" s="23"/>
      <c r="D740" s="1162"/>
      <c r="E740" s="40"/>
      <c r="F740" s="40"/>
    </row>
    <row r="741" spans="1:6" hidden="1">
      <c r="A741" s="23"/>
      <c r="B741" s="913"/>
      <c r="C741" s="23"/>
      <c r="D741" s="1162"/>
      <c r="E741" s="40"/>
      <c r="F741" s="40"/>
    </row>
    <row r="742" spans="1:6" hidden="1">
      <c r="A742" s="23"/>
      <c r="B742" s="913"/>
      <c r="C742" s="23"/>
      <c r="D742" s="1162"/>
      <c r="E742" s="40"/>
      <c r="F742" s="40"/>
    </row>
    <row r="743" spans="1:6" hidden="1">
      <c r="A743" s="23"/>
      <c r="B743" s="913"/>
      <c r="C743" s="23"/>
      <c r="D743" s="1162"/>
      <c r="E743" s="40"/>
      <c r="F743" s="40"/>
    </row>
    <row r="744" spans="1:6" hidden="1">
      <c r="A744" s="23"/>
      <c r="B744" s="913"/>
      <c r="C744" s="23"/>
      <c r="D744" s="1162"/>
      <c r="E744" s="40"/>
      <c r="F744" s="40"/>
    </row>
    <row r="745" spans="1:6" hidden="1">
      <c r="A745" s="23"/>
      <c r="B745" s="913"/>
      <c r="C745" s="23"/>
      <c r="D745" s="1162"/>
      <c r="E745" s="40"/>
      <c r="F745" s="40"/>
    </row>
    <row r="746" spans="1:6" hidden="1">
      <c r="A746" s="23"/>
      <c r="B746" s="913"/>
      <c r="C746" s="23"/>
      <c r="D746" s="1162"/>
      <c r="E746" s="40"/>
      <c r="F746" s="40"/>
    </row>
    <row r="747" spans="1:6" hidden="1">
      <c r="A747" s="23"/>
      <c r="B747" s="913"/>
      <c r="C747" s="23"/>
      <c r="D747" s="1162"/>
      <c r="E747" s="40"/>
      <c r="F747" s="40"/>
    </row>
    <row r="748" spans="1:6" hidden="1">
      <c r="A748" s="23"/>
      <c r="B748" s="913"/>
      <c r="C748" s="23"/>
      <c r="D748" s="1162"/>
      <c r="E748" s="40"/>
      <c r="F748" s="40"/>
    </row>
    <row r="749" spans="1:6" hidden="1">
      <c r="A749" s="23"/>
      <c r="B749" s="913"/>
      <c r="C749" s="23"/>
      <c r="D749" s="1162"/>
      <c r="E749" s="40"/>
      <c r="F749" s="40"/>
    </row>
    <row r="750" spans="1:6" hidden="1">
      <c r="A750" s="23"/>
      <c r="B750" s="913"/>
      <c r="C750" s="23"/>
      <c r="D750" s="1162"/>
      <c r="E750" s="40"/>
      <c r="F750" s="40"/>
    </row>
    <row r="751" spans="1:6" hidden="1">
      <c r="A751" s="23"/>
      <c r="B751" s="913"/>
      <c r="C751" s="23"/>
      <c r="D751" s="1162"/>
      <c r="E751" s="40"/>
      <c r="F751" s="40"/>
    </row>
    <row r="752" spans="1:6" hidden="1">
      <c r="A752" s="23"/>
      <c r="B752" s="913"/>
      <c r="C752" s="23"/>
      <c r="D752" s="1162"/>
      <c r="E752" s="40"/>
      <c r="F752" s="40"/>
    </row>
    <row r="753" spans="1:6" hidden="1">
      <c r="A753" s="23"/>
      <c r="B753" s="913"/>
      <c r="C753" s="23"/>
      <c r="D753" s="1162"/>
      <c r="E753" s="40"/>
      <c r="F753" s="40"/>
    </row>
    <row r="754" spans="1:6" hidden="1">
      <c r="A754" s="23"/>
      <c r="B754" s="913"/>
      <c r="C754" s="23"/>
      <c r="D754" s="1162"/>
      <c r="E754" s="40"/>
      <c r="F754" s="40"/>
    </row>
    <row r="755" spans="1:6" hidden="1">
      <c r="A755" s="23"/>
      <c r="B755" s="913"/>
      <c r="C755" s="23"/>
      <c r="D755" s="1162"/>
      <c r="E755" s="40"/>
      <c r="F755" s="40"/>
    </row>
    <row r="756" spans="1:6" hidden="1">
      <c r="A756" s="23"/>
      <c r="B756" s="913"/>
      <c r="C756" s="23"/>
      <c r="D756" s="1162"/>
      <c r="E756" s="40"/>
      <c r="F756" s="40"/>
    </row>
    <row r="757" spans="1:6" hidden="1">
      <c r="A757" s="23"/>
      <c r="B757" s="913"/>
      <c r="C757" s="23"/>
      <c r="D757" s="1162"/>
      <c r="E757" s="40"/>
      <c r="F757" s="40"/>
    </row>
    <row r="758" spans="1:6" hidden="1">
      <c r="A758" s="23"/>
      <c r="B758" s="913"/>
      <c r="C758" s="23"/>
      <c r="D758" s="1162"/>
      <c r="E758" s="40"/>
      <c r="F758" s="40"/>
    </row>
    <row r="759" spans="1:6" hidden="1">
      <c r="A759" s="23"/>
      <c r="B759" s="913"/>
      <c r="C759" s="23"/>
      <c r="D759" s="1162"/>
      <c r="E759" s="40"/>
      <c r="F759" s="40"/>
    </row>
    <row r="760" spans="1:6" hidden="1">
      <c r="A760" s="23"/>
      <c r="B760" s="913"/>
      <c r="C760" s="23"/>
      <c r="D760" s="1162"/>
      <c r="E760" s="40"/>
      <c r="F760" s="40"/>
    </row>
    <row r="761" spans="1:6" hidden="1">
      <c r="A761" s="23"/>
      <c r="B761" s="913"/>
      <c r="C761" s="23"/>
      <c r="D761" s="1162"/>
      <c r="E761" s="40"/>
      <c r="F761" s="40"/>
    </row>
    <row r="762" spans="1:6" hidden="1">
      <c r="A762" s="23"/>
      <c r="B762" s="913"/>
      <c r="C762" s="23"/>
      <c r="D762" s="1162"/>
      <c r="E762" s="40"/>
      <c r="F762" s="40"/>
    </row>
    <row r="763" spans="1:6" hidden="1">
      <c r="A763" s="23"/>
      <c r="B763" s="913"/>
      <c r="C763" s="23"/>
      <c r="D763" s="1162"/>
      <c r="E763" s="40"/>
      <c r="F763" s="40"/>
    </row>
    <row r="764" spans="1:6" hidden="1">
      <c r="A764" s="23"/>
      <c r="B764" s="913"/>
      <c r="C764" s="23"/>
      <c r="D764" s="1162"/>
      <c r="E764" s="40"/>
      <c r="F764" s="40"/>
    </row>
    <row r="765" spans="1:6" hidden="1">
      <c r="A765" s="23"/>
      <c r="B765" s="913"/>
      <c r="C765" s="23"/>
      <c r="D765" s="1162"/>
      <c r="E765" s="40"/>
      <c r="F765" s="40"/>
    </row>
    <row r="766" spans="1:6" hidden="1">
      <c r="A766" s="23"/>
      <c r="B766" s="913"/>
      <c r="C766" s="23"/>
      <c r="D766" s="1162"/>
      <c r="E766" s="40"/>
      <c r="F766" s="40"/>
    </row>
    <row r="767" spans="1:6" hidden="1">
      <c r="A767" s="23"/>
      <c r="B767" s="913"/>
      <c r="C767" s="23"/>
      <c r="D767" s="1162"/>
      <c r="E767" s="40"/>
      <c r="F767" s="40"/>
    </row>
    <row r="768" spans="1:6" hidden="1">
      <c r="A768" s="23"/>
      <c r="B768" s="913"/>
      <c r="C768" s="23"/>
      <c r="D768" s="1162"/>
      <c r="E768" s="40"/>
      <c r="F768" s="40"/>
    </row>
    <row r="769" spans="1:6" hidden="1">
      <c r="A769" s="23"/>
      <c r="B769" s="913"/>
      <c r="C769" s="23"/>
      <c r="D769" s="1162"/>
      <c r="E769" s="40"/>
      <c r="F769" s="40"/>
    </row>
    <row r="770" spans="1:6" hidden="1">
      <c r="A770" s="23"/>
      <c r="B770" s="913"/>
      <c r="C770" s="23"/>
      <c r="D770" s="1162"/>
      <c r="E770" s="40"/>
      <c r="F770" s="40"/>
    </row>
    <row r="771" spans="1:6" hidden="1">
      <c r="A771" s="23"/>
      <c r="B771" s="913"/>
      <c r="C771" s="23"/>
      <c r="D771" s="1162"/>
      <c r="E771" s="40"/>
      <c r="F771" s="40"/>
    </row>
    <row r="772" spans="1:6" hidden="1">
      <c r="A772" s="23"/>
      <c r="B772" s="913"/>
      <c r="C772" s="23"/>
      <c r="D772" s="1162"/>
      <c r="E772" s="40"/>
      <c r="F772" s="40"/>
    </row>
    <row r="773" spans="1:6" hidden="1">
      <c r="A773" s="23"/>
      <c r="B773" s="913"/>
      <c r="C773" s="23"/>
      <c r="D773" s="1162"/>
      <c r="E773" s="40"/>
      <c r="F773" s="40"/>
    </row>
    <row r="774" spans="1:6" hidden="1">
      <c r="A774" s="23"/>
      <c r="B774" s="913"/>
      <c r="C774" s="23"/>
      <c r="D774" s="1162"/>
      <c r="E774" s="40"/>
      <c r="F774" s="40"/>
    </row>
    <row r="775" spans="1:6" hidden="1">
      <c r="A775" s="23"/>
      <c r="B775" s="913"/>
      <c r="C775" s="23"/>
      <c r="D775" s="1162"/>
      <c r="E775" s="40"/>
      <c r="F775" s="40"/>
    </row>
    <row r="776" spans="1:6" hidden="1">
      <c r="A776" s="23"/>
      <c r="B776" s="913"/>
      <c r="C776" s="23"/>
      <c r="D776" s="1162"/>
      <c r="E776" s="40"/>
      <c r="F776" s="40"/>
    </row>
    <row r="777" spans="1:6" hidden="1">
      <c r="A777" s="23"/>
      <c r="B777" s="913"/>
      <c r="C777" s="23"/>
      <c r="D777" s="1162"/>
      <c r="E777" s="40"/>
      <c r="F777" s="40"/>
    </row>
    <row r="778" spans="1:6" hidden="1">
      <c r="A778" s="23"/>
      <c r="B778" s="913"/>
      <c r="C778" s="23"/>
      <c r="D778" s="1162"/>
      <c r="E778" s="40"/>
      <c r="F778" s="40"/>
    </row>
    <row r="779" spans="1:6" hidden="1">
      <c r="A779" s="23"/>
      <c r="B779" s="913"/>
      <c r="C779" s="23"/>
      <c r="D779" s="1162"/>
      <c r="E779" s="40"/>
      <c r="F779" s="40"/>
    </row>
    <row r="780" spans="1:6" hidden="1">
      <c r="A780" s="23"/>
      <c r="B780" s="913"/>
      <c r="C780" s="23"/>
      <c r="D780" s="1162"/>
      <c r="E780" s="40"/>
      <c r="F780" s="40"/>
    </row>
    <row r="781" spans="1:6" hidden="1">
      <c r="A781" s="23"/>
      <c r="B781" s="913"/>
      <c r="C781" s="23"/>
      <c r="D781" s="1162"/>
      <c r="E781" s="40"/>
      <c r="F781" s="40"/>
    </row>
    <row r="782" spans="1:6" hidden="1">
      <c r="A782" s="23"/>
      <c r="B782" s="913"/>
      <c r="C782" s="23"/>
      <c r="D782" s="1162"/>
      <c r="E782" s="40"/>
      <c r="F782" s="40"/>
    </row>
    <row r="783" spans="1:6" hidden="1">
      <c r="A783" s="23"/>
      <c r="B783" s="913"/>
      <c r="C783" s="23"/>
      <c r="D783" s="1162"/>
      <c r="E783" s="40"/>
      <c r="F783" s="40"/>
    </row>
    <row r="784" spans="1:6" hidden="1">
      <c r="A784" s="23"/>
      <c r="B784" s="913"/>
      <c r="C784" s="23"/>
      <c r="D784" s="1162"/>
      <c r="E784" s="40"/>
      <c r="F784" s="40"/>
    </row>
    <row r="785" spans="1:6" hidden="1">
      <c r="A785" s="23"/>
      <c r="B785" s="913"/>
      <c r="C785" s="23"/>
      <c r="D785" s="1162"/>
      <c r="E785" s="40"/>
      <c r="F785" s="40"/>
    </row>
    <row r="786" spans="1:6" hidden="1">
      <c r="A786" s="23"/>
      <c r="B786" s="913"/>
      <c r="C786" s="23"/>
      <c r="D786" s="1162"/>
      <c r="E786" s="40"/>
      <c r="F786" s="40"/>
    </row>
    <row r="787" spans="1:6" hidden="1">
      <c r="A787" s="23"/>
      <c r="B787" s="913"/>
      <c r="C787" s="23"/>
      <c r="D787" s="1162"/>
      <c r="E787" s="40"/>
      <c r="F787" s="40"/>
    </row>
    <row r="788" spans="1:6" hidden="1">
      <c r="A788" s="23"/>
      <c r="B788" s="913"/>
      <c r="C788" s="23"/>
      <c r="D788" s="1162"/>
      <c r="E788" s="40"/>
      <c r="F788" s="40"/>
    </row>
    <row r="789" spans="1:6" hidden="1">
      <c r="A789" s="23"/>
      <c r="B789" s="913"/>
      <c r="C789" s="23"/>
      <c r="D789" s="1162"/>
      <c r="E789" s="40"/>
      <c r="F789" s="40"/>
    </row>
    <row r="790" spans="1:6" hidden="1">
      <c r="A790" s="23"/>
      <c r="B790" s="913"/>
      <c r="C790" s="23"/>
      <c r="D790" s="1162"/>
      <c r="E790" s="40"/>
      <c r="F790" s="40"/>
    </row>
    <row r="791" spans="1:6" hidden="1">
      <c r="A791" s="23"/>
      <c r="B791" s="913"/>
      <c r="C791" s="23"/>
      <c r="D791" s="1162"/>
      <c r="E791" s="40"/>
      <c r="F791" s="40"/>
    </row>
    <row r="792" spans="1:6" hidden="1">
      <c r="A792" s="23"/>
      <c r="B792" s="913"/>
      <c r="C792" s="23"/>
      <c r="D792" s="1162"/>
      <c r="E792" s="40"/>
      <c r="F792" s="40"/>
    </row>
    <row r="793" spans="1:6" hidden="1">
      <c r="A793" s="23"/>
      <c r="B793" s="913"/>
      <c r="C793" s="23"/>
      <c r="D793" s="1162"/>
      <c r="E793" s="40"/>
      <c r="F793" s="40"/>
    </row>
    <row r="794" spans="1:6" hidden="1">
      <c r="A794" s="23"/>
      <c r="B794" s="913"/>
      <c r="C794" s="23"/>
      <c r="D794" s="1162"/>
      <c r="E794" s="40"/>
      <c r="F794" s="40"/>
    </row>
    <row r="795" spans="1:6" hidden="1">
      <c r="A795" s="23"/>
      <c r="B795" s="913"/>
      <c r="C795" s="23"/>
      <c r="D795" s="1162"/>
      <c r="E795" s="40"/>
      <c r="F795" s="40"/>
    </row>
    <row r="796" spans="1:6" hidden="1">
      <c r="A796" s="23"/>
      <c r="B796" s="913"/>
      <c r="C796" s="23"/>
      <c r="D796" s="1162"/>
      <c r="E796" s="40"/>
      <c r="F796" s="40"/>
    </row>
    <row r="797" spans="1:6" hidden="1">
      <c r="A797" s="23"/>
      <c r="B797" s="913"/>
      <c r="C797" s="23"/>
      <c r="D797" s="1162"/>
      <c r="E797" s="40"/>
      <c r="F797" s="40"/>
    </row>
    <row r="798" spans="1:6" hidden="1">
      <c r="A798" s="23"/>
      <c r="B798" s="913"/>
      <c r="C798" s="23"/>
      <c r="D798" s="1162"/>
      <c r="E798" s="40"/>
      <c r="F798" s="40"/>
    </row>
    <row r="799" spans="1:6" hidden="1">
      <c r="A799" s="23"/>
      <c r="B799" s="913"/>
      <c r="C799" s="23"/>
      <c r="D799" s="1162"/>
      <c r="E799" s="40"/>
      <c r="F799" s="40"/>
    </row>
    <row r="800" spans="1:6" hidden="1">
      <c r="A800" s="23"/>
      <c r="B800" s="913"/>
      <c r="C800" s="23"/>
      <c r="D800" s="1162"/>
      <c r="E800" s="40"/>
      <c r="F800" s="40"/>
    </row>
    <row r="801" spans="1:6" hidden="1">
      <c r="A801" s="23"/>
      <c r="B801" s="913"/>
      <c r="C801" s="23"/>
      <c r="D801" s="1162"/>
      <c r="E801" s="40"/>
      <c r="F801" s="40"/>
    </row>
    <row r="802" spans="1:6" hidden="1">
      <c r="A802" s="23"/>
      <c r="B802" s="913"/>
      <c r="C802" s="23"/>
      <c r="D802" s="1162"/>
      <c r="E802" s="40"/>
      <c r="F802" s="40"/>
    </row>
    <row r="803" spans="1:6" hidden="1">
      <c r="A803" s="23"/>
      <c r="B803" s="913"/>
      <c r="C803" s="23"/>
      <c r="D803" s="1162"/>
      <c r="E803" s="40"/>
      <c r="F803" s="40"/>
    </row>
    <row r="804" spans="1:6" hidden="1">
      <c r="A804" s="23"/>
      <c r="B804" s="913"/>
      <c r="C804" s="23"/>
      <c r="D804" s="1162"/>
      <c r="E804" s="40"/>
      <c r="F804" s="40"/>
    </row>
    <row r="805" spans="1:6" hidden="1">
      <c r="A805" s="23"/>
      <c r="B805" s="913"/>
      <c r="C805" s="23"/>
      <c r="D805" s="1162"/>
      <c r="E805" s="40"/>
      <c r="F805" s="40"/>
    </row>
    <row r="806" spans="1:6" hidden="1">
      <c r="A806" s="23"/>
      <c r="B806" s="913"/>
      <c r="C806" s="23"/>
      <c r="D806" s="1162"/>
      <c r="E806" s="40"/>
      <c r="F806" s="40"/>
    </row>
    <row r="807" spans="1:6" hidden="1">
      <c r="A807" s="23"/>
      <c r="B807" s="913"/>
      <c r="C807" s="23"/>
      <c r="D807" s="1162"/>
      <c r="E807" s="40"/>
      <c r="F807" s="40"/>
    </row>
    <row r="808" spans="1:6" hidden="1">
      <c r="A808" s="23"/>
      <c r="B808" s="913"/>
      <c r="C808" s="23"/>
      <c r="D808" s="1162"/>
      <c r="E808" s="40"/>
      <c r="F808" s="40"/>
    </row>
    <row r="809" spans="1:6" hidden="1">
      <c r="A809" s="23"/>
      <c r="B809" s="913"/>
      <c r="C809" s="23"/>
      <c r="D809" s="1162"/>
      <c r="E809" s="40"/>
      <c r="F809" s="40"/>
    </row>
    <row r="810" spans="1:6" hidden="1">
      <c r="A810" s="23"/>
      <c r="B810" s="913"/>
      <c r="C810" s="23"/>
      <c r="D810" s="1162"/>
      <c r="E810" s="40"/>
      <c r="F810" s="40"/>
    </row>
    <row r="811" spans="1:6" hidden="1">
      <c r="A811" s="23"/>
      <c r="B811" s="913"/>
      <c r="C811" s="23"/>
      <c r="D811" s="1162"/>
      <c r="E811" s="40"/>
      <c r="F811" s="40"/>
    </row>
    <row r="812" spans="1:6" hidden="1">
      <c r="A812" s="23"/>
      <c r="B812" s="913"/>
      <c r="C812" s="23"/>
      <c r="D812" s="1162"/>
      <c r="E812" s="40"/>
      <c r="F812" s="40"/>
    </row>
    <row r="813" spans="1:6" hidden="1">
      <c r="A813" s="23"/>
      <c r="B813" s="913"/>
      <c r="C813" s="23"/>
      <c r="D813" s="1162"/>
      <c r="E813" s="40"/>
      <c r="F813" s="40"/>
    </row>
    <row r="814" spans="1:6" hidden="1">
      <c r="A814" s="23"/>
      <c r="B814" s="913"/>
      <c r="C814" s="23"/>
      <c r="D814" s="1162"/>
      <c r="E814" s="40"/>
      <c r="F814" s="40"/>
    </row>
    <row r="815" spans="1:6" hidden="1">
      <c r="A815" s="23"/>
      <c r="B815" s="913"/>
      <c r="C815" s="23"/>
      <c r="D815" s="1162"/>
      <c r="E815" s="40"/>
      <c r="F815" s="40"/>
    </row>
    <row r="816" spans="1:6" hidden="1">
      <c r="A816" s="23"/>
      <c r="B816" s="913"/>
      <c r="C816" s="23"/>
      <c r="D816" s="1162"/>
      <c r="E816" s="40"/>
      <c r="F816" s="40"/>
    </row>
    <row r="817" spans="1:6" hidden="1">
      <c r="A817" s="23"/>
      <c r="B817" s="913"/>
      <c r="C817" s="23"/>
      <c r="D817" s="1162"/>
      <c r="E817" s="40"/>
      <c r="F817" s="40"/>
    </row>
    <row r="818" spans="1:6" hidden="1">
      <c r="A818" s="23"/>
      <c r="B818" s="913"/>
      <c r="C818" s="23"/>
      <c r="D818" s="1162"/>
      <c r="E818" s="40"/>
      <c r="F818" s="40"/>
    </row>
    <row r="819" spans="1:6" hidden="1">
      <c r="A819" s="23"/>
      <c r="B819" s="913"/>
      <c r="C819" s="23"/>
      <c r="D819" s="1162"/>
      <c r="E819" s="40"/>
      <c r="F819" s="40"/>
    </row>
    <row r="820" spans="1:6" hidden="1">
      <c r="A820" s="23"/>
      <c r="B820" s="913"/>
      <c r="C820" s="23"/>
      <c r="D820" s="1162"/>
      <c r="E820" s="40"/>
      <c r="F820" s="40"/>
    </row>
    <row r="821" spans="1:6" hidden="1">
      <c r="A821" s="23"/>
      <c r="B821" s="913"/>
      <c r="C821" s="23"/>
      <c r="D821" s="1162"/>
      <c r="E821" s="40"/>
      <c r="F821" s="40"/>
    </row>
    <row r="822" spans="1:6" hidden="1">
      <c r="A822" s="23"/>
      <c r="B822" s="913"/>
      <c r="C822" s="23"/>
      <c r="D822" s="1162"/>
      <c r="E822" s="40"/>
      <c r="F822" s="40"/>
    </row>
    <row r="823" spans="1:6" hidden="1">
      <c r="A823" s="23"/>
      <c r="B823" s="913"/>
      <c r="C823" s="23"/>
      <c r="D823" s="1162"/>
      <c r="E823" s="40"/>
      <c r="F823" s="40"/>
    </row>
    <row r="824" spans="1:6" hidden="1">
      <c r="A824" s="23"/>
      <c r="B824" s="913"/>
      <c r="C824" s="23"/>
      <c r="D824" s="1162"/>
      <c r="E824" s="40"/>
      <c r="F824" s="40"/>
    </row>
    <row r="825" spans="1:6" hidden="1">
      <c r="A825" s="23"/>
      <c r="B825" s="913"/>
      <c r="C825" s="23"/>
      <c r="D825" s="1162"/>
      <c r="E825" s="40"/>
      <c r="F825" s="40"/>
    </row>
    <row r="826" spans="1:6" hidden="1">
      <c r="A826" s="23"/>
      <c r="B826" s="913"/>
      <c r="C826" s="23"/>
      <c r="D826" s="1162"/>
      <c r="E826" s="40"/>
      <c r="F826" s="40"/>
    </row>
    <row r="827" spans="1:6" hidden="1">
      <c r="A827" s="23"/>
      <c r="B827" s="913"/>
      <c r="C827" s="23"/>
      <c r="D827" s="1162"/>
      <c r="E827" s="40"/>
      <c r="F827" s="40"/>
    </row>
    <row r="828" spans="1:6" hidden="1">
      <c r="A828" s="23"/>
      <c r="B828" s="913"/>
      <c r="C828" s="23"/>
      <c r="D828" s="1162"/>
      <c r="E828" s="40"/>
      <c r="F828" s="40"/>
    </row>
    <row r="829" spans="1:6" hidden="1">
      <c r="A829" s="23"/>
      <c r="B829" s="913"/>
      <c r="C829" s="23"/>
      <c r="D829" s="1162"/>
      <c r="E829" s="40"/>
      <c r="F829" s="40"/>
    </row>
    <row r="830" spans="1:6" hidden="1">
      <c r="A830" s="23"/>
      <c r="B830" s="913"/>
      <c r="C830" s="23"/>
      <c r="D830" s="1162"/>
      <c r="E830" s="40"/>
      <c r="F830" s="40"/>
    </row>
    <row r="831" spans="1:6" hidden="1">
      <c r="A831" s="23"/>
      <c r="B831" s="913"/>
      <c r="C831" s="23"/>
      <c r="D831" s="1162"/>
      <c r="E831" s="40"/>
      <c r="F831" s="40"/>
    </row>
    <row r="832" spans="1:6" hidden="1">
      <c r="A832" s="23"/>
      <c r="B832" s="913"/>
      <c r="C832" s="23"/>
      <c r="D832" s="1162"/>
      <c r="E832" s="40"/>
      <c r="F832" s="40"/>
    </row>
    <row r="833" spans="1:6" hidden="1">
      <c r="A833" s="23"/>
      <c r="B833" s="913"/>
      <c r="C833" s="23"/>
      <c r="D833" s="1162"/>
      <c r="E833" s="40"/>
      <c r="F833" s="40"/>
    </row>
    <row r="834" spans="1:6" hidden="1">
      <c r="A834" s="23"/>
      <c r="B834" s="913"/>
      <c r="C834" s="23"/>
      <c r="D834" s="1162"/>
      <c r="E834" s="40"/>
      <c r="F834" s="40"/>
    </row>
    <row r="835" spans="1:6" hidden="1">
      <c r="A835" s="23"/>
      <c r="B835" s="913"/>
      <c r="C835" s="23"/>
      <c r="D835" s="1162"/>
      <c r="E835" s="40"/>
      <c r="F835" s="40"/>
    </row>
    <row r="836" spans="1:6" hidden="1">
      <c r="A836" s="23"/>
      <c r="B836" s="913"/>
      <c r="C836" s="23"/>
      <c r="D836" s="1162"/>
      <c r="E836" s="40"/>
      <c r="F836" s="40"/>
    </row>
    <row r="837" spans="1:6" hidden="1">
      <c r="A837" s="23"/>
      <c r="B837" s="913"/>
      <c r="C837" s="23"/>
      <c r="D837" s="1162"/>
      <c r="E837" s="40"/>
      <c r="F837" s="40"/>
    </row>
    <row r="838" spans="1:6" hidden="1">
      <c r="A838" s="23"/>
      <c r="B838" s="913"/>
      <c r="C838" s="23"/>
      <c r="D838" s="1162"/>
      <c r="E838" s="40"/>
      <c r="F838" s="40"/>
    </row>
    <row r="839" spans="1:6" hidden="1">
      <c r="A839" s="23"/>
      <c r="B839" s="913"/>
      <c r="C839" s="23"/>
      <c r="D839" s="1162"/>
      <c r="E839" s="40"/>
      <c r="F839" s="40"/>
    </row>
    <row r="840" spans="1:6" hidden="1">
      <c r="A840" s="23"/>
      <c r="B840" s="913"/>
      <c r="C840" s="23"/>
      <c r="D840" s="1162"/>
      <c r="E840" s="40"/>
      <c r="F840" s="40"/>
    </row>
    <row r="841" spans="1:6" hidden="1">
      <c r="A841" s="23"/>
      <c r="B841" s="913"/>
      <c r="C841" s="23"/>
      <c r="D841" s="1162"/>
      <c r="E841" s="40"/>
      <c r="F841" s="40"/>
    </row>
    <row r="842" spans="1:6" hidden="1">
      <c r="A842" s="23"/>
      <c r="B842" s="913"/>
      <c r="C842" s="23"/>
      <c r="D842" s="1162"/>
      <c r="E842" s="40"/>
      <c r="F842" s="40"/>
    </row>
    <row r="843" spans="1:6" hidden="1">
      <c r="A843" s="23"/>
      <c r="B843" s="913"/>
      <c r="C843" s="23"/>
      <c r="D843" s="1162"/>
      <c r="E843" s="40"/>
      <c r="F843" s="40"/>
    </row>
    <row r="844" spans="1:6" hidden="1">
      <c r="A844" s="23"/>
      <c r="B844" s="913"/>
      <c r="C844" s="23"/>
      <c r="D844" s="1162"/>
      <c r="E844" s="40"/>
      <c r="F844" s="40"/>
    </row>
    <row r="845" spans="1:6" hidden="1">
      <c r="A845" s="23"/>
    </row>
    <row r="846" spans="1:6" hidden="1">
      <c r="A846" s="23"/>
    </row>
  </sheetData>
  <sheetProtection algorithmName="SHA-512" hashValue="+IRa4x0DERBPQWkpaS2n/9ejvOecErGn++LSma28ecKjsIdfoKoNr/JIrDbhVVvFToNa4E3a3dma0+aTKXXqVA==" saltValue="GxYB6W/QTgVXuFItCQYFKg==" spinCount="100000" sheet="1" objects="1" scenarios="1"/>
  <customSheetViews>
    <customSheetView guid="{82538F0F-5202-4835-8386-243FA62C9FC1}" fitToPage="1" printArea="1">
      <selection activeCell="B41" sqref="B41:F48"/>
      <rowBreaks count="1" manualBreakCount="1">
        <brk id="51" max="16383" man="1"/>
      </rowBreaks>
      <pageMargins left="0.75" right="0.75" top="0.75" bottom="1" header="0.5" footer="0.5"/>
      <printOptions horizontalCentered="1"/>
      <pageSetup scale="74" firstPageNumber="3" orientation="portrait" useFirstPageNumber="1" horizontalDpi="300" verticalDpi="196" r:id="rId1"/>
      <headerFooter alignWithMargins="0">
        <oddFooter>&amp;C&amp;"Arial,Bold"Page &amp;P</oddFooter>
      </headerFooter>
    </customSheetView>
  </customSheetViews>
  <mergeCells count="8">
    <mergeCell ref="B58:F65"/>
    <mergeCell ref="E54:F55"/>
    <mergeCell ref="E51:F52"/>
    <mergeCell ref="B4:F6"/>
    <mergeCell ref="B2:D2"/>
    <mergeCell ref="F9:F15"/>
    <mergeCell ref="F20:F25"/>
    <mergeCell ref="E41:F42"/>
  </mergeCells>
  <phoneticPr fontId="0" type="noConversion"/>
  <conditionalFormatting sqref="D9">
    <cfRule type="cellIs" dxfId="0" priority="3" operator="lessThan">
      <formula>3450</formula>
    </cfRule>
  </conditionalFormatting>
  <dataValidations disablePrompts="1" count="2">
    <dataValidation type="whole" allowBlank="1" showInputMessage="1" showErrorMessage="1" sqref="D38 D34">
      <formula1>0</formula1>
      <formula2>100000</formula2>
    </dataValidation>
    <dataValidation type="whole" errorStyle="information" operator="greaterThanOrEqual" allowBlank="1" showInputMessage="1" showErrorMessage="1" errorTitle="PCPV Less Than 6450" error="With a PCPV less than 6450, use of the RRM Not Appropriate for Staffing Calculations.  Use Small Ambulatory Criteria or Consult Your Area Planner." sqref="D9">
      <formula1>6450</formula1>
    </dataValidation>
  </dataValidations>
  <printOptions horizontalCentered="1"/>
  <pageMargins left="0.75" right="0.75" top="0.75" bottom="1" header="0.5" footer="0.5"/>
  <pageSetup scale="67" firstPageNumber="3" orientation="portrait" useFirstPageNumber="1" horizontalDpi="300" verticalDpi="196" r:id="rId2"/>
  <headerFooter alignWithMargins="0">
    <oddFooter>&amp;C&amp;"Arial,Bold"Page &amp;P</oddFooter>
  </headerFooter>
  <rowBreaks count="1" manualBreakCount="1">
    <brk id="70" max="16383" man="1"/>
  </rowBreaks>
  <drawing r:id="rId3"/>
  <legacyDrawing r:id="rId4"/>
  <controls>
    <mc:AlternateContent xmlns:mc="http://schemas.openxmlformats.org/markup-compatibility/2006">
      <mc:Choice Requires="x14">
        <control shapeId="3122" r:id="rId5" name="ComboBox6">
          <controlPr defaultSize="0" autoLine="0" linkedCell="D28" listFillRange="$I$28:$J$30" r:id="rId6">
            <anchor moveWithCells="1" sizeWithCells="1">
              <from>
                <xdr:col>3</xdr:col>
                <xdr:colOff>0</xdr:colOff>
                <xdr:row>27</xdr:row>
                <xdr:rowOff>9525</xdr:rowOff>
              </from>
              <to>
                <xdr:col>4</xdr:col>
                <xdr:colOff>0</xdr:colOff>
                <xdr:row>28</xdr:row>
                <xdr:rowOff>9525</xdr:rowOff>
              </to>
            </anchor>
          </controlPr>
        </control>
      </mc:Choice>
      <mc:Fallback>
        <control shapeId="3122" r:id="rId5" name="ComboBox6"/>
      </mc:Fallback>
    </mc:AlternateContent>
    <mc:AlternateContent xmlns:mc="http://schemas.openxmlformats.org/markup-compatibility/2006">
      <mc:Choice Requires="x14">
        <control shapeId="3115" r:id="rId7" name="Pharm247ED">
          <controlPr defaultSize="0" autoLine="0" linkedCell="D25" listFillRange="$I$25:$J$26" r:id="rId8">
            <anchor moveWithCells="1">
              <from>
                <xdr:col>3</xdr:col>
                <xdr:colOff>9525</xdr:colOff>
                <xdr:row>24</xdr:row>
                <xdr:rowOff>9525</xdr:rowOff>
              </from>
              <to>
                <xdr:col>4</xdr:col>
                <xdr:colOff>9525</xdr:colOff>
                <xdr:row>25</xdr:row>
                <xdr:rowOff>9525</xdr:rowOff>
              </to>
            </anchor>
          </controlPr>
        </control>
      </mc:Choice>
      <mc:Fallback>
        <control shapeId="3115" r:id="rId7" name="Pharm247ED"/>
      </mc:Fallback>
    </mc:AlternateContent>
    <mc:AlternateContent xmlns:mc="http://schemas.openxmlformats.org/markup-compatibility/2006">
      <mc:Choice Requires="x14">
        <control shapeId="3112" r:id="rId9" name="PharmDrivethru">
          <controlPr defaultSize="0" autoLine="0" linkedCell="D24" listFillRange="$I$25:$J$26" r:id="rId10">
            <anchor moveWithCells="1">
              <from>
                <xdr:col>3</xdr:col>
                <xdr:colOff>9525</xdr:colOff>
                <xdr:row>23</xdr:row>
                <xdr:rowOff>9525</xdr:rowOff>
              </from>
              <to>
                <xdr:col>4</xdr:col>
                <xdr:colOff>9525</xdr:colOff>
                <xdr:row>24</xdr:row>
                <xdr:rowOff>9525</xdr:rowOff>
              </to>
            </anchor>
          </controlPr>
        </control>
      </mc:Choice>
      <mc:Fallback>
        <control shapeId="3112" r:id="rId9" name="PharmDrivethru"/>
      </mc:Fallback>
    </mc:AlternateContent>
    <mc:AlternateContent xmlns:mc="http://schemas.openxmlformats.org/markup-compatibility/2006">
      <mc:Choice Requires="x14">
        <control shapeId="3106" r:id="rId11" name="ComboBox1">
          <controlPr defaultSize="0" autoLine="0" linkedCell="D39" listFillRange="$M$48:$N$51" r:id="rId12">
            <anchor moveWithCells="1">
              <from>
                <xdr:col>3</xdr:col>
                <xdr:colOff>0</xdr:colOff>
                <xdr:row>38</xdr:row>
                <xdr:rowOff>9525</xdr:rowOff>
              </from>
              <to>
                <xdr:col>4</xdr:col>
                <xdr:colOff>0</xdr:colOff>
                <xdr:row>39</xdr:row>
                <xdr:rowOff>9525</xdr:rowOff>
              </to>
            </anchor>
          </controlPr>
        </control>
      </mc:Choice>
      <mc:Fallback>
        <control shapeId="3106" r:id="rId11" name="ComboBox1"/>
      </mc:Fallback>
    </mc:AlternateContent>
    <mc:AlternateContent xmlns:mc="http://schemas.openxmlformats.org/markup-compatibility/2006">
      <mc:Choice Requires="x14">
        <control shapeId="3108" r:id="rId13" name="ComboBox2">
          <controlPr defaultSize="0" autoLine="0" linkedCell="$D$49" listFillRange="$R$49:$S$50" r:id="rId14">
            <anchor moveWithCells="1">
              <from>
                <xdr:col>3</xdr:col>
                <xdr:colOff>0</xdr:colOff>
                <xdr:row>48</xdr:row>
                <xdr:rowOff>9525</xdr:rowOff>
              </from>
              <to>
                <xdr:col>4</xdr:col>
                <xdr:colOff>0</xdr:colOff>
                <xdr:row>49</xdr:row>
                <xdr:rowOff>9525</xdr:rowOff>
              </to>
            </anchor>
          </controlPr>
        </control>
      </mc:Choice>
      <mc:Fallback>
        <control shapeId="3108" r:id="rId13" name="ComboBox2"/>
      </mc:Fallback>
    </mc:AlternateContent>
    <mc:AlternateContent xmlns:mc="http://schemas.openxmlformats.org/markup-compatibility/2006">
      <mc:Choice Requires="x14">
        <control shapeId="3109" r:id="rId15" name="ComboBox3">
          <controlPr defaultSize="0" autoLine="0" linkedCell="D53" listFillRange="$R$49:$S$50" r:id="rId16">
            <anchor moveWithCells="1">
              <from>
                <xdr:col>3</xdr:col>
                <xdr:colOff>0</xdr:colOff>
                <xdr:row>52</xdr:row>
                <xdr:rowOff>0</xdr:rowOff>
              </from>
              <to>
                <xdr:col>4</xdr:col>
                <xdr:colOff>0</xdr:colOff>
                <xdr:row>53</xdr:row>
                <xdr:rowOff>0</xdr:rowOff>
              </to>
            </anchor>
          </controlPr>
        </control>
      </mc:Choice>
      <mc:Fallback>
        <control shapeId="3109" r:id="rId15" name="ComboBox3"/>
      </mc:Fallback>
    </mc:AlternateContent>
    <mc:AlternateContent xmlns:mc="http://schemas.openxmlformats.org/markup-compatibility/2006">
      <mc:Choice Requires="x14">
        <control shapeId="3116" r:id="rId17" name="ComboBox4">
          <controlPr defaultSize="0" autoLine="0" linkedCell="D45" listFillRange="$J$42:$K$44" r:id="rId18">
            <anchor moveWithCells="1">
              <from>
                <xdr:col>3</xdr:col>
                <xdr:colOff>0</xdr:colOff>
                <xdr:row>44</xdr:row>
                <xdr:rowOff>9525</xdr:rowOff>
              </from>
              <to>
                <xdr:col>4</xdr:col>
                <xdr:colOff>0</xdr:colOff>
                <xdr:row>45</xdr:row>
                <xdr:rowOff>9525</xdr:rowOff>
              </to>
            </anchor>
          </controlPr>
        </control>
      </mc:Choice>
      <mc:Fallback>
        <control shapeId="3116" r:id="rId17" name="ComboBox4"/>
      </mc:Fallback>
    </mc:AlternateContent>
    <mc:AlternateContent xmlns:mc="http://schemas.openxmlformats.org/markup-compatibility/2006">
      <mc:Choice Requires="x14">
        <control shapeId="3120" r:id="rId19" name="ComboBox5">
          <controlPr defaultSize="0" autoLine="0" linkedCell="D46" listFillRange="$I$47:$J$48" r:id="rId20">
            <anchor moveWithCells="1">
              <from>
                <xdr:col>3</xdr:col>
                <xdr:colOff>0</xdr:colOff>
                <xdr:row>45</xdr:row>
                <xdr:rowOff>9525</xdr:rowOff>
              </from>
              <to>
                <xdr:col>4</xdr:col>
                <xdr:colOff>0</xdr:colOff>
                <xdr:row>46</xdr:row>
                <xdr:rowOff>9525</xdr:rowOff>
              </to>
            </anchor>
          </controlPr>
        </control>
      </mc:Choice>
      <mc:Fallback>
        <control shapeId="3120" r:id="rId19" name="ComboBox5"/>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autoPageBreaks="0" fitToPage="1"/>
  </sheetPr>
  <dimension ref="A1:AI120"/>
  <sheetViews>
    <sheetView topLeftCell="A20" zoomScaleNormal="100" zoomScaleSheetLayoutView="100" workbookViewId="0">
      <selection activeCell="AE15" sqref="AE15"/>
    </sheetView>
  </sheetViews>
  <sheetFormatPr defaultColWidth="0" defaultRowHeight="15.75" zeroHeight="1"/>
  <cols>
    <col min="1" max="1" width="3.625" customWidth="1" collapsed="1"/>
    <col min="2" max="2" width="5.875" style="108" customWidth="1" collapsed="1"/>
    <col min="3" max="3" width="42.625" customWidth="1" collapsed="1"/>
    <col min="4" max="4" width="26.75" customWidth="1" collapsed="1"/>
    <col min="5" max="5" width="20.625" style="107" customWidth="1" collapsed="1"/>
    <col min="6" max="6" width="12.125" customWidth="1" collapsed="1"/>
    <col min="7" max="7" width="14.125" customWidth="1" collapsed="1"/>
    <col min="8" max="8" width="15.875" hidden="1" customWidth="1" collapsed="1"/>
    <col min="9" max="9" width="9.375" hidden="1" customWidth="1" collapsed="1"/>
    <col min="10" max="10" width="18.25" hidden="1" customWidth="1" collapsed="1"/>
    <col min="11" max="11" width="5.375" hidden="1" customWidth="1" collapsed="1"/>
    <col min="12" max="12" width="18.5" hidden="1" customWidth="1" collapsed="1"/>
    <col min="13" max="13" width="7.75" hidden="1" customWidth="1" collapsed="1"/>
    <col min="14" max="15" width="2.75" style="41" hidden="1" customWidth="1" collapsed="1"/>
    <col min="16" max="16" width="4.875" style="41" hidden="1" customWidth="1" collapsed="1"/>
    <col min="17" max="24" width="2.75" style="41" hidden="1" customWidth="1" collapsed="1"/>
    <col min="25" max="25" width="6.75" style="41" hidden="1" customWidth="1" collapsed="1"/>
    <col min="26" max="26" width="7.875" style="41" hidden="1" customWidth="1" collapsed="1"/>
    <col min="27" max="27" width="6.75" style="608" hidden="1" customWidth="1" collapsed="1"/>
    <col min="28" max="28" width="10.25" style="608" hidden="1" customWidth="1" collapsed="1"/>
    <col min="29" max="31" width="10.25" style="608" customWidth="1" collapsed="1"/>
    <col min="32" max="32" width="10.25" style="608" hidden="1" customWidth="1" collapsed="1"/>
    <col min="33" max="34" width="8.75" style="608" customWidth="1" collapsed="1"/>
    <col min="35" max="35" width="8.75" style="608" hidden="1" customWidth="1" collapsed="1"/>
    <col min="36" max="36" width="0" style="608" hidden="1" customWidth="1" collapsed="1"/>
    <col min="37" max="16384" width="0" style="608" hidden="1" collapsed="1"/>
  </cols>
  <sheetData>
    <row r="1" spans="1:32">
      <c r="A1" s="23"/>
      <c r="B1" s="39"/>
      <c r="C1" s="23"/>
      <c r="D1" s="23"/>
      <c r="E1" s="40"/>
      <c r="F1" s="23"/>
      <c r="G1" s="40"/>
      <c r="H1" s="41"/>
      <c r="I1" s="41"/>
      <c r="J1" s="41"/>
      <c r="K1" s="41"/>
      <c r="L1" s="41"/>
      <c r="M1" s="41"/>
      <c r="Y1" s="1098" t="s">
        <v>49</v>
      </c>
      <c r="Z1" s="1102"/>
    </row>
    <row r="2" spans="1:32" s="1019" customFormat="1" ht="20.25">
      <c r="A2" s="42"/>
      <c r="B2" s="1923" t="s">
        <v>702</v>
      </c>
      <c r="C2" s="1923"/>
      <c r="D2" s="1923"/>
      <c r="E2" s="1923"/>
      <c r="F2" s="42" t="str">
        <f>'Facility Info'!$F$1</f>
        <v>Last Update:</v>
      </c>
      <c r="G2" s="580">
        <f>'Facility Info'!$G$1</f>
        <v>43902</v>
      </c>
      <c r="H2" s="43"/>
      <c r="I2" s="43"/>
      <c r="J2" s="43"/>
      <c r="K2" s="43"/>
      <c r="L2" s="43"/>
      <c r="M2" s="43"/>
      <c r="N2" s="43"/>
      <c r="O2" s="43"/>
      <c r="P2" s="43"/>
      <c r="Q2" s="43"/>
      <c r="R2" s="43"/>
      <c r="S2" s="43"/>
      <c r="T2" s="43"/>
      <c r="U2" s="43"/>
      <c r="V2" s="43"/>
      <c r="W2" s="43"/>
      <c r="X2" s="43"/>
      <c r="Y2" s="1099" t="s">
        <v>50</v>
      </c>
      <c r="Z2" s="608">
        <v>1</v>
      </c>
      <c r="AA2" s="608"/>
      <c r="AB2" s="608"/>
      <c r="AC2" s="608"/>
    </row>
    <row r="3" spans="1:32" ht="19.5" thickBot="1">
      <c r="A3" s="23"/>
      <c r="B3" s="44"/>
      <c r="C3" s="45"/>
      <c r="D3" s="46"/>
      <c r="E3" s="1166"/>
      <c r="F3" s="42" t="str">
        <f>'Facility Info'!$F$2</f>
        <v>Today's Date:</v>
      </c>
      <c r="G3" s="581">
        <f ca="1">'Facility Info'!$G$2</f>
        <v>43944.347985416665</v>
      </c>
      <c r="H3" s="41"/>
      <c r="I3" s="41"/>
      <c r="J3" s="41"/>
      <c r="K3" s="41"/>
      <c r="L3" s="41"/>
      <c r="M3" s="41"/>
      <c r="Y3" s="1100" t="s">
        <v>40</v>
      </c>
      <c r="Z3" s="1103">
        <v>0</v>
      </c>
    </row>
    <row r="4" spans="1:32">
      <c r="A4" s="23"/>
      <c r="B4" s="1930" t="str">
        <f>'Facility Info'!$E$5</f>
        <v>Proposed Project</v>
      </c>
      <c r="C4" s="1931"/>
      <c r="D4" s="1931"/>
      <c r="E4" s="1931"/>
      <c r="F4" s="1931"/>
      <c r="G4" s="1932"/>
      <c r="H4" s="45"/>
      <c r="I4" s="45"/>
      <c r="J4" s="45"/>
      <c r="K4" s="45"/>
      <c r="L4" s="45"/>
      <c r="M4" s="45"/>
      <c r="N4" s="45"/>
      <c r="O4" s="608"/>
      <c r="P4" s="608"/>
    </row>
    <row r="5" spans="1:32">
      <c r="A5" s="23"/>
      <c r="B5" s="1933"/>
      <c r="C5" s="1934"/>
      <c r="D5" s="1934"/>
      <c r="E5" s="1934"/>
      <c r="F5" s="1934"/>
      <c r="G5" s="1935"/>
      <c r="H5" s="45"/>
      <c r="I5" s="45"/>
      <c r="J5" s="45"/>
      <c r="K5" s="45"/>
      <c r="L5" s="45"/>
      <c r="M5" s="45"/>
      <c r="N5" s="45"/>
      <c r="O5" s="608"/>
      <c r="P5" s="608"/>
      <c r="AC5" s="1104"/>
    </row>
    <row r="6" spans="1:32">
      <c r="A6" s="23"/>
      <c r="B6" s="1936"/>
      <c r="C6" s="1937"/>
      <c r="D6" s="1937"/>
      <c r="E6" s="1937"/>
      <c r="F6" s="1937"/>
      <c r="G6" s="1938"/>
      <c r="H6" s="47"/>
      <c r="I6" s="47"/>
      <c r="J6" s="48"/>
      <c r="K6" s="49" t="s">
        <v>51</v>
      </c>
      <c r="L6" s="50" t="s">
        <v>52</v>
      </c>
      <c r="M6" s="45"/>
      <c r="N6" s="45"/>
      <c r="O6" s="608"/>
      <c r="P6" s="608"/>
      <c r="AC6" s="1104"/>
    </row>
    <row r="7" spans="1:32" s="58" customFormat="1">
      <c r="A7" s="51"/>
      <c r="B7" s="1924" t="s">
        <v>1032</v>
      </c>
      <c r="C7" s="1925"/>
      <c r="D7" s="1926"/>
      <c r="E7" s="52" t="s">
        <v>53</v>
      </c>
      <c r="F7" s="59" t="s">
        <v>54</v>
      </c>
      <c r="G7" s="53"/>
      <c r="H7" s="54"/>
      <c r="I7" s="48"/>
      <c r="J7" s="55" t="s">
        <v>55</v>
      </c>
      <c r="K7" s="56">
        <f t="shared" ref="K7:K12" si="0">IF(E17&lt;0,0,E17)</f>
        <v>0</v>
      </c>
      <c r="L7" s="50">
        <v>3.68</v>
      </c>
      <c r="M7" s="57"/>
      <c r="N7" s="57"/>
      <c r="S7" s="607"/>
      <c r="T7" s="41"/>
      <c r="U7" s="1105"/>
      <c r="V7" s="608"/>
      <c r="W7" s="1104"/>
    </row>
    <row r="8" spans="1:32" s="58" customFormat="1" ht="16.5" thickBot="1">
      <c r="A8" s="51"/>
      <c r="B8" s="1927"/>
      <c r="C8" s="1925"/>
      <c r="D8" s="1926"/>
      <c r="E8" s="52" t="s">
        <v>56</v>
      </c>
      <c r="F8" s="59"/>
      <c r="G8" s="53"/>
      <c r="H8" s="54"/>
      <c r="I8" s="48"/>
      <c r="J8" s="55" t="s">
        <v>57</v>
      </c>
      <c r="K8" s="56">
        <f t="shared" si="0"/>
        <v>0</v>
      </c>
      <c r="L8" s="48">
        <v>3.74</v>
      </c>
      <c r="M8" s="57"/>
      <c r="N8" s="57"/>
      <c r="Q8" s="60"/>
      <c r="R8" s="60"/>
      <c r="S8" s="607"/>
      <c r="T8" s="41"/>
      <c r="U8" s="1105"/>
      <c r="V8" s="608"/>
      <c r="W8" s="1104"/>
    </row>
    <row r="9" spans="1:32" ht="16.5" thickBot="1">
      <c r="A9" s="23"/>
      <c r="B9" s="1080">
        <v>1</v>
      </c>
      <c r="C9" s="61" t="s">
        <v>58</v>
      </c>
      <c r="D9" s="62"/>
      <c r="E9" s="1185"/>
      <c r="F9" s="63" t="s">
        <v>59</v>
      </c>
      <c r="G9" s="64">
        <f ca="1">ROUND(FTE_FTE_Calc,0)</f>
        <v>0</v>
      </c>
      <c r="H9" s="54"/>
      <c r="I9" s="48"/>
      <c r="J9" s="55" t="s">
        <v>60</v>
      </c>
      <c r="K9" s="56">
        <f t="shared" si="0"/>
        <v>0</v>
      </c>
      <c r="L9" s="48">
        <v>3.73</v>
      </c>
      <c r="M9" s="45"/>
      <c r="N9" s="45"/>
      <c r="O9" s="608"/>
      <c r="P9" s="608"/>
    </row>
    <row r="10" spans="1:32" ht="16.5" thickBot="1">
      <c r="A10" s="23"/>
      <c r="B10" s="1081"/>
      <c r="C10" s="65" t="s">
        <v>61</v>
      </c>
      <c r="D10" s="66"/>
      <c r="E10" s="1186">
        <f>IF(E9&gt;0,E9,M14)</f>
        <v>0</v>
      </c>
      <c r="F10" s="67"/>
      <c r="G10" s="68"/>
      <c r="H10" s="54"/>
      <c r="I10" s="48"/>
      <c r="J10" s="66" t="s">
        <v>62</v>
      </c>
      <c r="K10" s="56">
        <f t="shared" si="0"/>
        <v>0</v>
      </c>
      <c r="L10" s="69">
        <v>2.0099999999999998</v>
      </c>
      <c r="M10" s="45"/>
      <c r="N10" s="45"/>
      <c r="O10" s="608"/>
      <c r="P10" s="608"/>
      <c r="AF10" s="608">
        <f>ADPL</f>
        <v>0</v>
      </c>
    </row>
    <row r="11" spans="1:32">
      <c r="A11" s="23"/>
      <c r="B11" s="1082"/>
      <c r="C11" s="70" t="s">
        <v>63</v>
      </c>
      <c r="D11" s="71"/>
      <c r="E11" s="1187" t="s">
        <v>64</v>
      </c>
      <c r="F11" s="72" t="s">
        <v>54</v>
      </c>
      <c r="G11" s="68"/>
      <c r="H11" s="54"/>
      <c r="I11" s="48"/>
      <c r="J11" s="55" t="s">
        <v>66</v>
      </c>
      <c r="K11" s="56">
        <f t="shared" si="0"/>
        <v>0</v>
      </c>
      <c r="L11" s="48">
        <v>3.94</v>
      </c>
      <c r="M11" s="45"/>
      <c r="N11" s="45"/>
      <c r="O11" s="608"/>
      <c r="P11" s="608"/>
    </row>
    <row r="12" spans="1:32">
      <c r="A12" s="23"/>
      <c r="B12" s="1083">
        <v>2</v>
      </c>
      <c r="C12" s="73" t="s">
        <v>65</v>
      </c>
      <c r="D12" s="73"/>
      <c r="E12" s="1188"/>
      <c r="F12" s="74">
        <v>1</v>
      </c>
      <c r="G12" s="75"/>
      <c r="H12" s="54"/>
      <c r="I12" s="48"/>
      <c r="J12" s="55" t="s">
        <v>68</v>
      </c>
      <c r="K12" s="76">
        <f t="shared" si="0"/>
        <v>0</v>
      </c>
      <c r="L12" s="95">
        <v>3</v>
      </c>
      <c r="M12" s="45"/>
      <c r="N12" s="45"/>
      <c r="O12" s="608"/>
      <c r="P12" s="608"/>
    </row>
    <row r="13" spans="1:32">
      <c r="A13" s="23"/>
      <c r="B13" s="1083">
        <v>3</v>
      </c>
      <c r="C13" s="73" t="s">
        <v>67</v>
      </c>
      <c r="D13" s="73"/>
      <c r="E13" s="1188"/>
      <c r="F13" s="74">
        <v>1</v>
      </c>
      <c r="G13" s="75"/>
      <c r="H13" s="54" t="s">
        <v>70</v>
      </c>
      <c r="I13" s="48"/>
      <c r="J13" s="55"/>
      <c r="K13" s="76"/>
      <c r="L13" s="48"/>
      <c r="M13" s="45"/>
      <c r="N13" s="45"/>
      <c r="O13" s="608"/>
      <c r="P13" s="608"/>
    </row>
    <row r="14" spans="1:32">
      <c r="A14" s="23"/>
      <c r="B14" s="1083">
        <f>B13+1</f>
        <v>4</v>
      </c>
      <c r="C14" s="77" t="s">
        <v>69</v>
      </c>
      <c r="D14" s="73"/>
      <c r="E14" s="1189"/>
      <c r="F14" s="78"/>
      <c r="G14" s="75"/>
      <c r="H14" s="54" t="s">
        <v>71</v>
      </c>
      <c r="I14" s="48"/>
      <c r="J14" s="48"/>
      <c r="K14" s="48"/>
      <c r="L14" s="79" t="s">
        <v>72</v>
      </c>
      <c r="M14" s="45">
        <f>ROUND(K7/L7+K8/L8+K9/L9+K10/L10+K11/L11+K12/L12,0)</f>
        <v>0</v>
      </c>
      <c r="N14" s="45"/>
      <c r="O14" s="608"/>
      <c r="P14" s="608"/>
    </row>
    <row r="15" spans="1:32" ht="16.5" thickBot="1">
      <c r="A15" s="51"/>
      <c r="B15" s="1087"/>
      <c r="C15" s="81"/>
      <c r="D15" s="81"/>
      <c r="E15" s="1190"/>
      <c r="F15" s="81"/>
      <c r="G15" s="82"/>
      <c r="H15" s="83"/>
      <c r="I15" s="50"/>
      <c r="J15" s="80" t="s">
        <v>56</v>
      </c>
      <c r="K15" s="50"/>
      <c r="L15" s="57"/>
      <c r="N15" s="45"/>
      <c r="O15" s="608"/>
      <c r="P15" s="608"/>
    </row>
    <row r="16" spans="1:32" ht="16.5" thickBot="1">
      <c r="A16" s="51"/>
      <c r="B16" s="1084"/>
      <c r="C16" s="84"/>
      <c r="D16" s="84" t="s">
        <v>73</v>
      </c>
      <c r="E16" s="85" t="s">
        <v>74</v>
      </c>
      <c r="F16" s="86" t="s">
        <v>75</v>
      </c>
      <c r="G16" s="87"/>
      <c r="H16" s="1106" t="s">
        <v>76</v>
      </c>
      <c r="I16" s="50" t="s">
        <v>77</v>
      </c>
      <c r="J16" s="80"/>
      <c r="K16" s="50"/>
      <c r="L16" s="45"/>
      <c r="N16" s="45"/>
      <c r="O16" s="608"/>
      <c r="P16" s="608"/>
    </row>
    <row r="17" spans="1:26" s="58" customFormat="1">
      <c r="A17" s="23"/>
      <c r="B17" s="1085">
        <f>B14+1</f>
        <v>5</v>
      </c>
      <c r="C17" s="89" t="s">
        <v>78</v>
      </c>
      <c r="D17" s="90"/>
      <c r="E17" s="1191"/>
      <c r="F17" s="91"/>
      <c r="G17" s="87"/>
      <c r="H17" s="92">
        <f t="shared" ref="H17:H25" si="1">E17/365*1.25</f>
        <v>0</v>
      </c>
      <c r="I17" s="610">
        <v>0</v>
      </c>
      <c r="J17" s="88">
        <f t="shared" ref="J17:J25" si="2">IF(AND(E17&gt;0,H17&gt;0),E17/H17,0)</f>
        <v>0</v>
      </c>
      <c r="K17" s="48"/>
      <c r="L17" s="45"/>
      <c r="M17" s="57"/>
      <c r="N17" s="57"/>
      <c r="Q17" s="60"/>
      <c r="R17" s="60"/>
      <c r="S17" s="60"/>
      <c r="T17" s="60"/>
      <c r="U17" s="60"/>
      <c r="V17" s="60"/>
      <c r="W17" s="60"/>
      <c r="X17" s="60"/>
      <c r="Y17" s="60"/>
      <c r="Z17" s="60"/>
    </row>
    <row r="18" spans="1:26">
      <c r="A18" s="23"/>
      <c r="B18" s="1078">
        <f>B17+1</f>
        <v>6</v>
      </c>
      <c r="C18" s="93" t="s">
        <v>79</v>
      </c>
      <c r="D18" s="93"/>
      <c r="E18" s="1188"/>
      <c r="F18" s="94"/>
      <c r="G18" s="87"/>
      <c r="H18" s="92">
        <f t="shared" si="1"/>
        <v>0</v>
      </c>
      <c r="I18" s="610">
        <v>0</v>
      </c>
      <c r="J18" s="88">
        <f t="shared" si="2"/>
        <v>0</v>
      </c>
      <c r="K18" s="48"/>
      <c r="L18" s="45"/>
      <c r="M18" s="45"/>
      <c r="N18" s="45"/>
      <c r="O18" s="608"/>
      <c r="P18" s="608"/>
    </row>
    <row r="19" spans="1:26">
      <c r="A19" s="23"/>
      <c r="B19" s="1078">
        <f t="shared" ref="B19:B25" si="3">B18+1</f>
        <v>7</v>
      </c>
      <c r="C19" s="48" t="s">
        <v>80</v>
      </c>
      <c r="D19" s="93"/>
      <c r="E19" s="1188"/>
      <c r="F19" s="94"/>
      <c r="G19" s="87"/>
      <c r="H19" s="92">
        <f t="shared" si="1"/>
        <v>0</v>
      </c>
      <c r="I19" s="610">
        <v>0</v>
      </c>
      <c r="J19" s="88">
        <f t="shared" si="2"/>
        <v>0</v>
      </c>
      <c r="K19" s="48"/>
      <c r="L19" s="45"/>
      <c r="M19" s="45"/>
      <c r="N19" s="45"/>
      <c r="O19" s="608"/>
      <c r="P19" s="608"/>
    </row>
    <row r="20" spans="1:26">
      <c r="A20" s="23"/>
      <c r="B20" s="1078">
        <f t="shared" si="3"/>
        <v>8</v>
      </c>
      <c r="C20" s="48" t="s">
        <v>81</v>
      </c>
      <c r="D20" s="93"/>
      <c r="E20" s="1188"/>
      <c r="F20" s="94"/>
      <c r="G20" s="87"/>
      <c r="H20" s="92">
        <f t="shared" si="1"/>
        <v>0</v>
      </c>
      <c r="I20" s="610">
        <v>0</v>
      </c>
      <c r="J20" s="88">
        <f t="shared" si="2"/>
        <v>0</v>
      </c>
      <c r="K20" s="48"/>
      <c r="L20" s="47" t="s">
        <v>66</v>
      </c>
      <c r="M20" s="45"/>
      <c r="N20" s="45"/>
      <c r="O20" s="608"/>
      <c r="P20" s="608"/>
    </row>
    <row r="21" spans="1:26">
      <c r="A21" s="23"/>
      <c r="B21" s="1078">
        <f t="shared" si="3"/>
        <v>9</v>
      </c>
      <c r="C21" s="568" t="s">
        <v>82</v>
      </c>
      <c r="D21" s="926"/>
      <c r="E21" s="1188"/>
      <c r="F21" s="94"/>
      <c r="G21" s="87"/>
      <c r="H21" s="92">
        <f t="shared" si="1"/>
        <v>0</v>
      </c>
      <c r="I21" s="610">
        <v>0</v>
      </c>
      <c r="J21" s="88">
        <f t="shared" si="2"/>
        <v>0</v>
      </c>
      <c r="K21" s="48"/>
      <c r="L21" s="47" t="s">
        <v>734</v>
      </c>
      <c r="M21" s="608" t="b">
        <v>0</v>
      </c>
      <c r="N21" s="47">
        <f>1*M21</f>
        <v>0</v>
      </c>
      <c r="O21" s="608"/>
      <c r="P21" s="608"/>
    </row>
    <row r="22" spans="1:26">
      <c r="A22" s="23"/>
      <c r="B22" s="1078">
        <f t="shared" si="3"/>
        <v>10</v>
      </c>
      <c r="C22" s="93" t="s">
        <v>83</v>
      </c>
      <c r="D22" s="93"/>
      <c r="E22" s="1188"/>
      <c r="F22" s="94"/>
      <c r="G22" s="87"/>
      <c r="H22" s="92">
        <f t="shared" si="1"/>
        <v>0</v>
      </c>
      <c r="I22" s="610">
        <v>0</v>
      </c>
      <c r="J22" s="88">
        <f t="shared" si="2"/>
        <v>0</v>
      </c>
      <c r="K22" s="48"/>
      <c r="L22" s="47" t="s">
        <v>735</v>
      </c>
      <c r="M22" s="608" t="b">
        <v>0</v>
      </c>
      <c r="N22" s="47">
        <f t="shared" ref="N22:N24" si="4">1*M22</f>
        <v>0</v>
      </c>
      <c r="O22" s="608"/>
      <c r="P22" s="608"/>
    </row>
    <row r="23" spans="1:26">
      <c r="A23" s="23"/>
      <c r="B23" s="1078">
        <f t="shared" si="3"/>
        <v>11</v>
      </c>
      <c r="C23" s="93" t="s">
        <v>84</v>
      </c>
      <c r="D23" s="93"/>
      <c r="E23" s="1214"/>
      <c r="F23" s="94"/>
      <c r="G23" s="87"/>
      <c r="H23" s="92">
        <f t="shared" si="1"/>
        <v>0</v>
      </c>
      <c r="I23" s="610">
        <v>0</v>
      </c>
      <c r="J23" s="88">
        <f t="shared" si="2"/>
        <v>0</v>
      </c>
      <c r="K23" s="48"/>
      <c r="L23" s="1111" t="s">
        <v>736</v>
      </c>
      <c r="M23" s="608" t="b">
        <v>0</v>
      </c>
      <c r="N23" s="47">
        <f t="shared" si="4"/>
        <v>0</v>
      </c>
      <c r="O23" s="608"/>
      <c r="P23" s="608"/>
    </row>
    <row r="24" spans="1:26" ht="16.5" thickBot="1">
      <c r="A24" s="23"/>
      <c r="B24" s="1078">
        <f t="shared" si="3"/>
        <v>12</v>
      </c>
      <c r="C24" s="93" t="s">
        <v>85</v>
      </c>
      <c r="D24" s="93"/>
      <c r="E24" s="1188"/>
      <c r="F24" s="94"/>
      <c r="G24" s="87"/>
      <c r="H24" s="92">
        <f t="shared" si="1"/>
        <v>0</v>
      </c>
      <c r="I24" s="610">
        <v>0</v>
      </c>
      <c r="J24" s="88">
        <f t="shared" si="2"/>
        <v>0</v>
      </c>
      <c r="K24" s="48"/>
      <c r="L24" s="1111" t="s">
        <v>737</v>
      </c>
      <c r="M24" s="608" t="b">
        <v>0</v>
      </c>
      <c r="N24" s="47">
        <f t="shared" si="4"/>
        <v>0</v>
      </c>
      <c r="O24" s="608"/>
      <c r="P24" s="608"/>
    </row>
    <row r="25" spans="1:26">
      <c r="A25" s="23"/>
      <c r="B25" s="1078">
        <f t="shared" si="3"/>
        <v>13</v>
      </c>
      <c r="C25" s="93" t="s">
        <v>86</v>
      </c>
      <c r="D25" s="96"/>
      <c r="E25" s="1191"/>
      <c r="F25" s="94"/>
      <c r="G25" s="97" t="s">
        <v>87</v>
      </c>
      <c r="H25" s="92">
        <f t="shared" si="1"/>
        <v>0</v>
      </c>
      <c r="I25" s="610">
        <v>0</v>
      </c>
      <c r="J25" s="88">
        <f t="shared" si="2"/>
        <v>0</v>
      </c>
      <c r="K25" s="48"/>
      <c r="L25" s="45"/>
      <c r="M25" s="45">
        <f>SUM(M21:M24)</f>
        <v>0</v>
      </c>
      <c r="N25" s="45">
        <f>SUM(N21:N24)</f>
        <v>0</v>
      </c>
      <c r="O25" s="608"/>
      <c r="P25" s="608"/>
    </row>
    <row r="26" spans="1:26" ht="16.5" thickBot="1">
      <c r="A26" s="23"/>
      <c r="B26" s="1086"/>
      <c r="C26" s="98"/>
      <c r="D26" s="98" t="s">
        <v>88</v>
      </c>
      <c r="E26" s="1211">
        <f>SUM(E17:E25)</f>
        <v>0</v>
      </c>
      <c r="F26" s="99">
        <f>SUM(F17:F25)</f>
        <v>0</v>
      </c>
      <c r="G26" s="100">
        <f ca="1">ROUND(FTE_FTE_Calc,0)</f>
        <v>0</v>
      </c>
      <c r="H26" s="92">
        <f>SUM(H17:H25)</f>
        <v>0</v>
      </c>
      <c r="I26" s="48">
        <f>SUM(I17:I25)</f>
        <v>0</v>
      </c>
      <c r="J26" s="88">
        <f>SUM(J17:J25)</f>
        <v>0</v>
      </c>
      <c r="K26" s="48"/>
      <c r="L26" s="45"/>
      <c r="M26" s="45"/>
      <c r="N26" s="45"/>
      <c r="O26" s="608"/>
      <c r="P26" s="608"/>
    </row>
    <row r="27" spans="1:26" ht="16.5" thickBot="1">
      <c r="A27" s="23"/>
      <c r="B27" s="1086">
        <f>B25+1</f>
        <v>14</v>
      </c>
      <c r="C27" s="101" t="s">
        <v>89</v>
      </c>
      <c r="D27" s="98"/>
      <c r="E27" s="1103">
        <v>0</v>
      </c>
      <c r="F27" s="102"/>
      <c r="G27" s="87"/>
      <c r="H27" s="608"/>
      <c r="I27" s="608"/>
      <c r="J27" s="608"/>
      <c r="K27" s="608"/>
      <c r="L27" s="608"/>
      <c r="M27" s="45"/>
      <c r="N27" s="45"/>
      <c r="O27" s="608"/>
      <c r="P27" s="608"/>
    </row>
    <row r="28" spans="1:26">
      <c r="A28" s="23"/>
      <c r="B28" s="103"/>
      <c r="C28" s="23"/>
      <c r="D28" s="23"/>
      <c r="E28" s="1162"/>
      <c r="F28" s="23"/>
      <c r="G28" s="40"/>
      <c r="K28" s="608"/>
      <c r="L28" s="608"/>
      <c r="M28" s="45"/>
      <c r="N28" s="45"/>
      <c r="O28" s="608"/>
      <c r="P28" s="608"/>
    </row>
    <row r="29" spans="1:26">
      <c r="A29" s="23"/>
      <c r="B29" s="1928"/>
      <c r="C29" s="1929"/>
      <c r="D29" s="1929"/>
      <c r="E29" s="1929"/>
      <c r="F29" s="1929"/>
      <c r="G29" s="1929"/>
      <c r="K29" s="608"/>
      <c r="L29" s="608"/>
      <c r="M29" s="608"/>
      <c r="N29" s="45"/>
      <c r="O29" s="608"/>
      <c r="P29" s="608"/>
    </row>
    <row r="30" spans="1:26">
      <c r="A30" s="23"/>
      <c r="B30" s="1929"/>
      <c r="C30" s="1929"/>
      <c r="D30" s="1929"/>
      <c r="E30" s="1929"/>
      <c r="F30" s="1929"/>
      <c r="G30" s="1929"/>
      <c r="K30" s="608"/>
      <c r="L30" s="608"/>
      <c r="M30" s="608"/>
      <c r="N30" s="45"/>
      <c r="O30" s="608"/>
      <c r="P30" s="608"/>
    </row>
    <row r="31" spans="1:26">
      <c r="A31" s="23"/>
      <c r="B31" s="1929"/>
      <c r="C31" s="1929"/>
      <c r="D31" s="1929"/>
      <c r="E31" s="1929"/>
      <c r="F31" s="1929"/>
      <c r="G31" s="1929"/>
      <c r="K31" s="41"/>
      <c r="L31" s="41"/>
      <c r="M31" s="608"/>
      <c r="N31" s="608"/>
      <c r="O31" s="608"/>
      <c r="P31" s="608"/>
    </row>
    <row r="32" spans="1:26">
      <c r="A32" s="23"/>
      <c r="B32" s="1929"/>
      <c r="C32" s="1929"/>
      <c r="D32" s="1929"/>
      <c r="E32" s="1929"/>
      <c r="F32" s="1929"/>
      <c r="G32" s="1929"/>
      <c r="K32" s="41"/>
      <c r="L32" s="41"/>
      <c r="M32" s="608"/>
      <c r="N32" s="608"/>
      <c r="O32" s="608"/>
      <c r="P32" s="608"/>
    </row>
    <row r="33" spans="1:16">
      <c r="A33" s="23"/>
      <c r="B33" s="1929"/>
      <c r="C33" s="1929"/>
      <c r="D33" s="1929"/>
      <c r="E33" s="1929"/>
      <c r="F33" s="1929"/>
      <c r="G33" s="1929"/>
      <c r="K33" s="41"/>
      <c r="L33" s="41"/>
      <c r="M33" s="41"/>
      <c r="N33" s="608"/>
      <c r="O33" s="608"/>
      <c r="P33" s="608"/>
    </row>
    <row r="34" spans="1:16">
      <c r="A34" s="23"/>
      <c r="B34" s="1929"/>
      <c r="C34" s="1929"/>
      <c r="D34" s="1929"/>
      <c r="E34" s="1929"/>
      <c r="F34" s="1929"/>
      <c r="G34" s="1929"/>
      <c r="K34" s="41"/>
      <c r="L34" s="41"/>
      <c r="M34" s="41"/>
      <c r="N34" s="608"/>
      <c r="O34" s="608"/>
      <c r="P34" s="608"/>
    </row>
    <row r="35" spans="1:16" ht="16.5" customHeight="1">
      <c r="A35" s="23"/>
      <c r="B35" s="1929"/>
      <c r="C35" s="1929"/>
      <c r="D35" s="1929"/>
      <c r="E35" s="1929"/>
      <c r="F35" s="1929"/>
      <c r="G35" s="1929"/>
      <c r="K35" s="41"/>
      <c r="L35" s="41"/>
      <c r="M35" s="41"/>
    </row>
    <row r="36" spans="1:16" ht="16.5" customHeight="1">
      <c r="A36" s="23"/>
      <c r="B36" s="1929"/>
      <c r="C36" s="1929"/>
      <c r="D36" s="1929"/>
      <c r="E36" s="1929"/>
      <c r="F36" s="1929"/>
      <c r="G36" s="1929"/>
      <c r="K36" s="41"/>
      <c r="L36" s="41"/>
      <c r="M36" s="41"/>
    </row>
    <row r="37" spans="1:16">
      <c r="A37" s="23"/>
      <c r="B37" s="1929"/>
      <c r="C37" s="1929"/>
      <c r="D37" s="1929"/>
      <c r="E37" s="1929"/>
      <c r="F37" s="1929"/>
      <c r="G37" s="1929"/>
      <c r="K37" s="41"/>
      <c r="L37" s="41"/>
      <c r="M37" s="41"/>
    </row>
    <row r="38" spans="1:16">
      <c r="A38" s="23"/>
      <c r="B38" s="1929"/>
      <c r="C38" s="1929"/>
      <c r="D38" s="1929"/>
      <c r="E38" s="1929"/>
      <c r="F38" s="1929"/>
      <c r="G38" s="1929"/>
      <c r="K38" s="41"/>
      <c r="L38" s="41"/>
      <c r="M38" s="41"/>
    </row>
    <row r="39" spans="1:16">
      <c r="A39" s="23"/>
      <c r="B39" s="1929"/>
      <c r="C39" s="1929"/>
      <c r="D39" s="1929"/>
      <c r="E39" s="1929"/>
      <c r="F39" s="1929"/>
      <c r="G39" s="1929"/>
      <c r="K39" s="41"/>
      <c r="L39" s="41"/>
      <c r="M39" s="41"/>
    </row>
    <row r="40" spans="1:16">
      <c r="A40" s="23"/>
      <c r="B40" s="105"/>
      <c r="E40" s="1161"/>
      <c r="G40" s="107"/>
      <c r="K40" s="41"/>
      <c r="L40" s="41"/>
      <c r="M40" s="41"/>
    </row>
    <row r="41" spans="1:16" hidden="1">
      <c r="A41" s="23"/>
      <c r="B41" s="105"/>
      <c r="E41" s="1161"/>
      <c r="G41" s="107"/>
      <c r="K41" s="41"/>
      <c r="L41" s="41"/>
      <c r="M41" s="41"/>
    </row>
    <row r="42" spans="1:16" hidden="1">
      <c r="B42" s="105"/>
      <c r="E42" s="1161"/>
      <c r="G42" s="107"/>
      <c r="K42" s="41"/>
      <c r="L42" s="41"/>
      <c r="M42" s="41"/>
    </row>
    <row r="43" spans="1:16" hidden="1">
      <c r="B43" s="105"/>
      <c r="E43" s="1161"/>
      <c r="G43" s="107"/>
      <c r="K43" s="41"/>
      <c r="L43" s="41"/>
      <c r="M43" s="41"/>
    </row>
    <row r="44" spans="1:16" hidden="1">
      <c r="B44" s="105"/>
      <c r="E44" s="1161"/>
      <c r="G44" s="107"/>
      <c r="K44" s="41"/>
      <c r="L44" s="41"/>
      <c r="M44" s="41"/>
    </row>
    <row r="45" spans="1:16" hidden="1">
      <c r="B45" s="105"/>
      <c r="E45" s="1161"/>
      <c r="G45" s="107"/>
      <c r="K45" s="41"/>
      <c r="L45" s="41"/>
      <c r="M45" s="41"/>
    </row>
    <row r="46" spans="1:16" hidden="1">
      <c r="B46" s="105"/>
      <c r="E46" s="1161"/>
      <c r="G46" s="107"/>
      <c r="K46" s="41"/>
      <c r="L46" s="41"/>
      <c r="M46" s="41"/>
    </row>
    <row r="47" spans="1:16" hidden="1">
      <c r="B47" s="105"/>
      <c r="E47" s="1161"/>
      <c r="G47" s="107"/>
      <c r="K47" s="41"/>
      <c r="L47" s="41"/>
      <c r="M47" s="41"/>
    </row>
    <row r="48" spans="1:16" hidden="1">
      <c r="B48" s="105"/>
      <c r="E48" s="1161"/>
      <c r="G48" s="107"/>
      <c r="K48" s="41"/>
      <c r="L48" s="41"/>
      <c r="M48" s="41"/>
    </row>
    <row r="49" spans="2:13" hidden="1">
      <c r="B49" s="105"/>
      <c r="E49" s="1161"/>
      <c r="G49" s="107"/>
      <c r="K49" s="41"/>
      <c r="L49" s="41"/>
      <c r="M49" s="41"/>
    </row>
    <row r="50" spans="2:13" hidden="1">
      <c r="B50" s="105"/>
      <c r="E50" s="1161"/>
      <c r="G50" s="107"/>
      <c r="K50" s="41"/>
      <c r="L50" s="41"/>
      <c r="M50" s="41"/>
    </row>
    <row r="51" spans="2:13" hidden="1">
      <c r="B51" s="105"/>
      <c r="E51" s="1161"/>
      <c r="G51" s="107"/>
      <c r="K51" s="41"/>
      <c r="L51" s="41"/>
      <c r="M51" s="41"/>
    </row>
    <row r="52" spans="2:13" hidden="1">
      <c r="B52" s="105"/>
      <c r="E52" s="1161"/>
      <c r="G52" s="107"/>
      <c r="K52" s="41"/>
      <c r="L52" s="41"/>
      <c r="M52" s="41"/>
    </row>
    <row r="53" spans="2:13" hidden="1">
      <c r="B53" s="105"/>
      <c r="E53" s="1161"/>
      <c r="G53" s="107"/>
      <c r="K53" s="41"/>
      <c r="L53" s="41"/>
      <c r="M53" s="41"/>
    </row>
    <row r="54" spans="2:13" hidden="1">
      <c r="B54" s="105"/>
      <c r="E54" s="1161"/>
      <c r="G54" s="107"/>
      <c r="K54" s="41"/>
      <c r="L54" s="41"/>
      <c r="M54" s="41"/>
    </row>
    <row r="55" spans="2:13" hidden="1">
      <c r="B55" s="105"/>
      <c r="E55" s="1161"/>
      <c r="G55" s="107"/>
      <c r="K55" s="41" t="b">
        <v>1</v>
      </c>
      <c r="L55" s="41"/>
      <c r="M55" s="41"/>
    </row>
    <row r="56" spans="2:13" hidden="1">
      <c r="B56" s="105"/>
      <c r="E56" s="1161"/>
      <c r="G56" s="107"/>
      <c r="K56" s="41"/>
      <c r="L56" s="41"/>
      <c r="M56" s="41"/>
    </row>
    <row r="57" spans="2:13" hidden="1">
      <c r="B57" s="105"/>
      <c r="E57" s="1161"/>
      <c r="G57" s="107"/>
      <c r="M57" s="41"/>
    </row>
    <row r="58" spans="2:13" hidden="1">
      <c r="B58" s="105"/>
      <c r="E58" s="1161"/>
      <c r="G58" s="107"/>
      <c r="K58" t="b">
        <v>1</v>
      </c>
      <c r="M58" s="41"/>
    </row>
    <row r="59" spans="2:13" hidden="1">
      <c r="B59" s="105"/>
      <c r="E59" s="1161"/>
      <c r="G59" s="107"/>
    </row>
    <row r="60" spans="2:13" hidden="1">
      <c r="B60" s="105"/>
      <c r="E60" s="1161"/>
      <c r="G60" s="107"/>
    </row>
    <row r="61" spans="2:13" hidden="1">
      <c r="B61" s="105"/>
      <c r="E61" s="1161"/>
      <c r="G61" s="107"/>
    </row>
    <row r="62" spans="2:13" hidden="1">
      <c r="B62" s="105"/>
      <c r="E62" s="1161"/>
      <c r="G62" s="107"/>
    </row>
    <row r="63" spans="2:13" hidden="1">
      <c r="B63" s="105"/>
      <c r="E63" s="1161"/>
      <c r="G63" s="107"/>
    </row>
    <row r="64" spans="2:13" hidden="1">
      <c r="B64" s="105"/>
      <c r="E64" s="1161"/>
      <c r="G64" s="107"/>
    </row>
    <row r="65" spans="2:7" hidden="1">
      <c r="B65" s="105"/>
      <c r="E65" s="1161"/>
      <c r="G65" s="107"/>
    </row>
    <row r="66" spans="2:7" hidden="1">
      <c r="B66" s="105"/>
      <c r="E66" s="1161"/>
      <c r="G66" s="107"/>
    </row>
    <row r="67" spans="2:7" hidden="1">
      <c r="B67" s="105"/>
      <c r="E67" s="1161"/>
      <c r="G67" s="107"/>
    </row>
    <row r="68" spans="2:7" hidden="1">
      <c r="B68" s="105"/>
      <c r="E68" s="1161"/>
      <c r="G68" s="107"/>
    </row>
    <row r="69" spans="2:7" hidden="1">
      <c r="B69" s="105"/>
      <c r="E69" s="1161"/>
      <c r="G69" s="107"/>
    </row>
    <row r="70" spans="2:7" hidden="1">
      <c r="B70" s="105"/>
      <c r="E70" s="1161"/>
      <c r="G70" s="107"/>
    </row>
    <row r="71" spans="2:7" hidden="1">
      <c r="B71" s="105"/>
      <c r="E71" s="1161"/>
      <c r="G71" s="107"/>
    </row>
    <row r="72" spans="2:7" hidden="1">
      <c r="B72" s="105"/>
      <c r="E72" s="1161"/>
      <c r="G72" s="107"/>
    </row>
    <row r="73" spans="2:7" hidden="1">
      <c r="B73" s="105"/>
      <c r="E73" s="1161"/>
      <c r="G73" s="107"/>
    </row>
    <row r="74" spans="2:7" hidden="1">
      <c r="B74" s="105"/>
      <c r="E74" s="1161"/>
      <c r="G74" s="107"/>
    </row>
    <row r="75" spans="2:7" hidden="1">
      <c r="B75" s="105"/>
      <c r="E75" s="1161"/>
      <c r="G75" s="107"/>
    </row>
    <row r="76" spans="2:7" hidden="1">
      <c r="B76" s="105"/>
      <c r="E76" s="1161"/>
      <c r="G76" s="107"/>
    </row>
    <row r="77" spans="2:7" hidden="1">
      <c r="B77" s="105"/>
      <c r="E77" s="1161"/>
      <c r="G77" s="107"/>
    </row>
    <row r="78" spans="2:7" hidden="1">
      <c r="B78" s="105"/>
      <c r="E78" s="1161"/>
      <c r="G78" s="107"/>
    </row>
    <row r="79" spans="2:7" hidden="1">
      <c r="B79" s="105"/>
      <c r="E79" s="1161"/>
      <c r="G79" s="107"/>
    </row>
    <row r="80" spans="2:7" hidden="1">
      <c r="B80" s="105"/>
      <c r="E80" s="1161"/>
      <c r="G80" s="107"/>
    </row>
    <row r="81" spans="2:7" hidden="1">
      <c r="B81" s="105"/>
      <c r="E81" s="1161"/>
      <c r="G81" s="107"/>
    </row>
    <row r="82" spans="2:7" hidden="1">
      <c r="B82" s="105"/>
      <c r="E82" s="1161"/>
      <c r="G82" s="107"/>
    </row>
    <row r="83" spans="2:7" hidden="1">
      <c r="B83" s="105"/>
      <c r="E83" s="1161"/>
      <c r="G83" s="107"/>
    </row>
    <row r="84" spans="2:7" hidden="1">
      <c r="B84" s="105"/>
      <c r="E84" s="1161"/>
      <c r="G84" s="107"/>
    </row>
    <row r="85" spans="2:7" hidden="1">
      <c r="B85" s="105"/>
      <c r="E85" s="1161"/>
      <c r="G85" s="107"/>
    </row>
    <row r="86" spans="2:7" hidden="1">
      <c r="B86" s="105"/>
      <c r="E86" s="1161"/>
      <c r="G86" s="107"/>
    </row>
    <row r="87" spans="2:7" hidden="1">
      <c r="B87" s="105"/>
      <c r="E87" s="1161"/>
      <c r="G87" s="107"/>
    </row>
    <row r="88" spans="2:7" hidden="1">
      <c r="B88" s="105"/>
      <c r="E88" s="1161"/>
      <c r="G88" s="107"/>
    </row>
    <row r="89" spans="2:7" hidden="1">
      <c r="B89" s="105"/>
      <c r="E89" s="1161"/>
      <c r="G89" s="107"/>
    </row>
    <row r="90" spans="2:7" hidden="1">
      <c r="B90" s="105"/>
      <c r="E90" s="1161"/>
      <c r="G90" s="107"/>
    </row>
    <row r="91" spans="2:7" hidden="1">
      <c r="B91" s="105"/>
      <c r="E91" s="1161"/>
      <c r="G91" s="107"/>
    </row>
    <row r="92" spans="2:7" hidden="1">
      <c r="B92" s="105"/>
      <c r="E92" s="1161"/>
      <c r="G92" s="107"/>
    </row>
    <row r="93" spans="2:7" hidden="1">
      <c r="B93" s="105"/>
      <c r="E93" s="1161"/>
      <c r="G93" s="107"/>
    </row>
    <row r="94" spans="2:7" hidden="1">
      <c r="B94" s="105"/>
      <c r="E94" s="1161"/>
      <c r="G94" s="107"/>
    </row>
    <row r="95" spans="2:7" hidden="1">
      <c r="B95" s="105"/>
      <c r="E95" s="1161"/>
      <c r="G95" s="107"/>
    </row>
    <row r="96" spans="2:7" hidden="1">
      <c r="B96" s="105"/>
      <c r="E96" s="1161"/>
      <c r="G96" s="107"/>
    </row>
    <row r="97" spans="2:7" hidden="1">
      <c r="B97" s="105"/>
      <c r="E97" s="1161"/>
      <c r="G97" s="107"/>
    </row>
    <row r="98" spans="2:7" hidden="1">
      <c r="B98" s="105"/>
      <c r="E98" s="1161"/>
      <c r="G98" s="107"/>
    </row>
    <row r="99" spans="2:7" hidden="1">
      <c r="B99" s="105"/>
      <c r="E99" s="1161"/>
      <c r="G99" s="107"/>
    </row>
    <row r="100" spans="2:7" hidden="1">
      <c r="B100" s="105"/>
      <c r="E100" s="1161"/>
      <c r="G100" s="107"/>
    </row>
    <row r="101" spans="2:7" hidden="1">
      <c r="B101" s="105"/>
      <c r="E101" s="1161"/>
      <c r="G101" s="107"/>
    </row>
    <row r="102" spans="2:7" hidden="1">
      <c r="B102" s="105"/>
      <c r="E102" s="1161"/>
      <c r="G102" s="107"/>
    </row>
    <row r="103" spans="2:7" hidden="1">
      <c r="B103" s="105"/>
      <c r="E103" s="1161"/>
      <c r="G103" s="107"/>
    </row>
    <row r="104" spans="2:7" hidden="1">
      <c r="B104" s="105"/>
      <c r="E104" s="1161"/>
      <c r="G104" s="107"/>
    </row>
    <row r="105" spans="2:7" hidden="1">
      <c r="B105" s="105"/>
      <c r="E105" s="1161"/>
      <c r="G105" s="107"/>
    </row>
    <row r="106" spans="2:7" hidden="1">
      <c r="B106" s="105"/>
      <c r="E106" s="1161"/>
      <c r="G106" s="107"/>
    </row>
    <row r="107" spans="2:7" hidden="1">
      <c r="B107" s="105"/>
      <c r="E107" s="1161"/>
      <c r="G107" s="107"/>
    </row>
    <row r="108" spans="2:7" hidden="1">
      <c r="B108" s="105"/>
      <c r="E108" s="1161"/>
      <c r="G108" s="107"/>
    </row>
    <row r="109" spans="2:7" hidden="1">
      <c r="B109" s="105"/>
      <c r="E109" s="1161"/>
      <c r="G109" s="107"/>
    </row>
    <row r="110" spans="2:7" hidden="1">
      <c r="B110" s="105"/>
      <c r="E110" s="1161"/>
      <c r="G110" s="107"/>
    </row>
    <row r="111" spans="2:7" hidden="1">
      <c r="B111" s="105"/>
      <c r="E111" s="1161"/>
      <c r="G111" s="107"/>
    </row>
    <row r="112" spans="2:7" hidden="1">
      <c r="B112" s="105"/>
      <c r="E112" s="1161"/>
      <c r="G112" s="107"/>
    </row>
    <row r="113" spans="2:7" hidden="1">
      <c r="B113" s="105"/>
      <c r="E113" s="1161"/>
      <c r="G113" s="107"/>
    </row>
    <row r="114" spans="2:7" hidden="1">
      <c r="B114" s="105"/>
      <c r="E114" s="1161"/>
      <c r="G114" s="107"/>
    </row>
    <row r="115" spans="2:7" hidden="1">
      <c r="B115" s="105"/>
      <c r="E115" s="1161"/>
      <c r="G115" s="107"/>
    </row>
    <row r="116" spans="2:7" hidden="1">
      <c r="B116" s="105"/>
      <c r="E116" s="1161"/>
      <c r="G116" s="107"/>
    </row>
    <row r="117" spans="2:7" hidden="1">
      <c r="B117" s="105"/>
      <c r="E117" s="1161"/>
      <c r="G117" s="107"/>
    </row>
    <row r="118" spans="2:7" hidden="1">
      <c r="B118" s="105"/>
      <c r="E118" s="1161"/>
      <c r="G118" s="107"/>
    </row>
    <row r="119" spans="2:7" hidden="1">
      <c r="B119" s="105"/>
      <c r="E119" s="1161"/>
      <c r="G119" s="107"/>
    </row>
    <row r="120" spans="2:7" hidden="1">
      <c r="B120" s="105"/>
      <c r="E120" s="1161"/>
      <c r="G120" s="107"/>
    </row>
  </sheetData>
  <sheetProtection algorithmName="SHA-512" hashValue="qcVczUH6H2Qau4I7dx6fSIgkSzKHo57TExP+fVnNgdVb5zoNIUVSpj5DIHwT82lmy8cIHxXasod01Hsd39BlXw==" saltValue="mgP2AJiKMIM9+aXMA7VEnw==" spinCount="100000" sheet="1" objects="1" scenarios="1"/>
  <customSheetViews>
    <customSheetView guid="{82538F0F-5202-4835-8386-243FA62C9FC1}" fitToPage="1" printArea="1">
      <selection activeCell="E4" sqref="E4"/>
      <pageMargins left="0.75" right="0.75" top="0.75" bottom="0.75" header="0.5" footer="0.5"/>
      <printOptions horizontalCentered="1"/>
      <pageSetup scale="68" firstPageNumber="2" orientation="portrait" useFirstPageNumber="1" horizontalDpi="4294967292" verticalDpi="98" r:id="rId1"/>
      <headerFooter alignWithMargins="0">
        <oddFooter>&amp;C&amp;"Arial,Bold"Page &amp;P</oddFooter>
      </headerFooter>
    </customSheetView>
  </customSheetViews>
  <mergeCells count="5">
    <mergeCell ref="B2:E2"/>
    <mergeCell ref="B7:D7"/>
    <mergeCell ref="B8:D8"/>
    <mergeCell ref="B29:G39"/>
    <mergeCell ref="B4:G6"/>
  </mergeCells>
  <phoneticPr fontId="0" type="noConversion"/>
  <dataValidations count="1">
    <dataValidation type="whole" operator="greaterThanOrEqual" allowBlank="1" showInputMessage="1" showErrorMessage="1" sqref="E9">
      <formula1>0</formula1>
    </dataValidation>
  </dataValidations>
  <printOptions horizontalCentered="1"/>
  <pageMargins left="0.75" right="0.75" top="0.75" bottom="0.75" header="0.5" footer="0.5"/>
  <pageSetup scale="68" firstPageNumber="2" orientation="portrait" useFirstPageNumber="1" horizontalDpi="4294967292" verticalDpi="98" r:id="rId2"/>
  <headerFooter alignWithMargins="0">
    <oddFooter>&amp;C&amp;"Arial,Bold"Page &amp;P</oddFooter>
  </headerFooter>
  <drawing r:id="rId3"/>
  <legacyDrawing r:id="rId4"/>
  <controls>
    <mc:AlternateContent xmlns:mc="http://schemas.openxmlformats.org/markup-compatibility/2006">
      <mc:Choice Requires="x14">
        <control shapeId="2106" r:id="rId5" name="ICUResiliencyCkBox">
          <controlPr autoLine="0" autoPict="0" linkedCell="M24" r:id="rId6">
            <anchor moveWithCells="1">
              <from>
                <xdr:col>3</xdr:col>
                <xdr:colOff>942975</xdr:colOff>
                <xdr:row>20</xdr:row>
                <xdr:rowOff>9525</xdr:rowOff>
              </from>
              <to>
                <xdr:col>3</xdr:col>
                <xdr:colOff>2019300</xdr:colOff>
                <xdr:row>20</xdr:row>
                <xdr:rowOff>171450</xdr:rowOff>
              </to>
            </anchor>
          </controlPr>
        </control>
      </mc:Choice>
      <mc:Fallback>
        <control shapeId="2106" r:id="rId5" name="ICUResiliencyCkBox"/>
      </mc:Fallback>
    </mc:AlternateContent>
    <mc:AlternateContent xmlns:mc="http://schemas.openxmlformats.org/markup-compatibility/2006">
      <mc:Choice Requires="x14">
        <control shapeId="2105" r:id="rId7" name="ICUVulnerabilityCkBox">
          <controlPr autoLine="0" autoPict="0" linkedCell="M23" r:id="rId8">
            <anchor moveWithCells="1">
              <from>
                <xdr:col>2</xdr:col>
                <xdr:colOff>3067050</xdr:colOff>
                <xdr:row>20</xdr:row>
                <xdr:rowOff>9525</xdr:rowOff>
              </from>
              <to>
                <xdr:col>3</xdr:col>
                <xdr:colOff>895350</xdr:colOff>
                <xdr:row>20</xdr:row>
                <xdr:rowOff>190500</xdr:rowOff>
              </to>
            </anchor>
          </controlPr>
        </control>
      </mc:Choice>
      <mc:Fallback>
        <control shapeId="2105" r:id="rId7" name="ICUVulnerabilityCkBox"/>
      </mc:Fallback>
    </mc:AlternateContent>
    <mc:AlternateContent xmlns:mc="http://schemas.openxmlformats.org/markup-compatibility/2006">
      <mc:Choice Requires="x14">
        <control shapeId="2104" r:id="rId9" name="ICUComplexCkBox">
          <controlPr autoLine="0" autoPict="0" linkedCell="M22" r:id="rId10">
            <anchor moveWithCells="1">
              <from>
                <xdr:col>2</xdr:col>
                <xdr:colOff>1752600</xdr:colOff>
                <xdr:row>20</xdr:row>
                <xdr:rowOff>9525</xdr:rowOff>
              </from>
              <to>
                <xdr:col>2</xdr:col>
                <xdr:colOff>2971800</xdr:colOff>
                <xdr:row>21</xdr:row>
                <xdr:rowOff>0</xdr:rowOff>
              </to>
            </anchor>
          </controlPr>
        </control>
      </mc:Choice>
      <mc:Fallback>
        <control shapeId="2104" r:id="rId9" name="ICUComplexCkBox"/>
      </mc:Fallback>
    </mc:AlternateContent>
    <mc:AlternateContent xmlns:mc="http://schemas.openxmlformats.org/markup-compatibility/2006">
      <mc:Choice Requires="x14">
        <control shapeId="2103" r:id="rId11" name="ICUStabilityCkBox">
          <controlPr autoLine="0" autoPict="0" linkedCell="M21" r:id="rId12">
            <anchor moveWithCells="1">
              <from>
                <xdr:col>2</xdr:col>
                <xdr:colOff>781050</xdr:colOff>
                <xdr:row>20</xdr:row>
                <xdr:rowOff>9525</xdr:rowOff>
              </from>
              <to>
                <xdr:col>2</xdr:col>
                <xdr:colOff>1704975</xdr:colOff>
                <xdr:row>21</xdr:row>
                <xdr:rowOff>0</xdr:rowOff>
              </to>
            </anchor>
          </controlPr>
        </control>
      </mc:Choice>
      <mc:Fallback>
        <control shapeId="2103" r:id="rId11" name="ICUStabilityCkBox"/>
      </mc:Fallback>
    </mc:AlternateContent>
    <mc:AlternateContent xmlns:mc="http://schemas.openxmlformats.org/markup-compatibility/2006">
      <mc:Choice Requires="x14">
        <control shapeId="2102" r:id="rId13" name="RemoteLocationComboBox">
          <controlPr locked="0" defaultSize="0" autoLine="0" autoPict="0" linkedCell="$E$27" listFillRange="$Y$2:$Z$3" r:id="rId14">
            <anchor moveWithCells="1">
              <from>
                <xdr:col>4</xdr:col>
                <xdr:colOff>0</xdr:colOff>
                <xdr:row>25</xdr:row>
                <xdr:rowOff>209550</xdr:rowOff>
              </from>
              <to>
                <xdr:col>5</xdr:col>
                <xdr:colOff>0</xdr:colOff>
                <xdr:row>27</xdr:row>
                <xdr:rowOff>0</xdr:rowOff>
              </to>
            </anchor>
          </controlPr>
        </control>
      </mc:Choice>
      <mc:Fallback>
        <control shapeId="2102" r:id="rId13" name="RemoteLocationComboBox"/>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fitToPage="1"/>
  </sheetPr>
  <dimension ref="A1:HD70"/>
  <sheetViews>
    <sheetView workbookViewId="0">
      <selection activeCell="D27" sqref="D27"/>
    </sheetView>
  </sheetViews>
  <sheetFormatPr defaultColWidth="9" defaultRowHeight="15.75"/>
  <cols>
    <col min="1" max="1" width="5.125" style="23" customWidth="1" collapsed="1"/>
    <col min="2" max="2" width="2.625" style="901" customWidth="1" collapsed="1"/>
    <col min="3" max="3" width="48.375" style="23" customWidth="1" collapsed="1"/>
    <col min="4" max="4" width="18.375" style="104" customWidth="1" collapsed="1"/>
    <col min="5" max="5" width="13.375" style="23" customWidth="1" collapsed="1"/>
    <col min="6" max="6" width="26.375" style="40" customWidth="1" collapsed="1"/>
    <col min="7" max="7" width="9" style="23" collapsed="1"/>
    <col min="8" max="8" width="16.625" style="23" customWidth="1" collapsed="1"/>
    <col min="9" max="11" width="17.625" style="23" hidden="1" customWidth="1" collapsed="1"/>
    <col min="12" max="13" width="9" style="23" customWidth="1" collapsed="1"/>
    <col min="14" max="209" width="9" style="23" collapsed="1"/>
    <col min="210" max="212" width="8.75" customWidth="1" collapsed="1"/>
    <col min="213" max="16384" width="9" style="23" collapsed="1"/>
  </cols>
  <sheetData>
    <row r="1" spans="1:11" ht="18" customHeight="1">
      <c r="B1" s="894"/>
      <c r="D1" s="23"/>
      <c r="E1" s="42" t="str">
        <f>'Facility Info'!$F$1</f>
        <v>Last Update:</v>
      </c>
      <c r="F1" s="580">
        <f>'Facility Info'!$G$1</f>
        <v>43902</v>
      </c>
    </row>
    <row r="2" spans="1:11" ht="18" customHeight="1" thickBot="1">
      <c r="B2" s="894"/>
      <c r="C2" s="109" t="s">
        <v>466</v>
      </c>
      <c r="D2" s="23"/>
      <c r="E2" s="42" t="str">
        <f>'Facility Info'!$F$2</f>
        <v>Today's Date:</v>
      </c>
      <c r="F2" s="581">
        <f ca="1">'Facility Info'!$G$2</f>
        <v>43944.347985416665</v>
      </c>
    </row>
    <row r="3" spans="1:11" ht="18" customHeight="1" thickBot="1">
      <c r="B3" s="894"/>
      <c r="D3" s="110" t="s">
        <v>94</v>
      </c>
      <c r="E3" s="111">
        <f ca="1">ROUND(FTE_FTE_Calc,0)</f>
        <v>0</v>
      </c>
    </row>
    <row r="4" spans="1:11" ht="18" customHeight="1">
      <c r="A4" s="112"/>
      <c r="B4" s="895"/>
      <c r="C4" s="113"/>
      <c r="D4" s="114"/>
      <c r="E4" s="115"/>
      <c r="F4" s="116"/>
      <c r="I4" s="662" t="s">
        <v>455</v>
      </c>
      <c r="J4" s="663"/>
      <c r="K4" s="665"/>
    </row>
    <row r="5" spans="1:11" ht="18" customHeight="1">
      <c r="B5" s="896"/>
      <c r="C5" s="117"/>
      <c r="D5" s="118">
        <f>'Facility Info'!E6</f>
        <v>0</v>
      </c>
      <c r="E5" s="45"/>
      <c r="F5" s="119"/>
      <c r="I5" s="678" t="s">
        <v>430</v>
      </c>
      <c r="J5" s="679"/>
      <c r="K5" s="680"/>
    </row>
    <row r="6" spans="1:11" s="120" customFormat="1" ht="18" customHeight="1" thickBot="1">
      <c r="B6" s="897"/>
      <c r="C6" s="46"/>
      <c r="D6" s="121"/>
      <c r="E6" s="122"/>
      <c r="F6" s="123"/>
      <c r="I6" s="687" t="s">
        <v>449</v>
      </c>
      <c r="J6" s="688"/>
      <c r="K6" s="689"/>
    </row>
    <row r="7" spans="1:11" s="51" customFormat="1" ht="18" customHeight="1">
      <c r="A7" s="125"/>
      <c r="B7" s="898"/>
      <c r="C7" s="126" t="s">
        <v>467</v>
      </c>
      <c r="D7" s="127" t="s">
        <v>53</v>
      </c>
      <c r="E7" s="128"/>
      <c r="F7" s="129"/>
      <c r="I7" s="696" t="s">
        <v>447</v>
      </c>
      <c r="J7" s="697">
        <v>3000</v>
      </c>
      <c r="K7" s="698"/>
    </row>
    <row r="8" spans="1:11" s="51" customFormat="1" ht="18" customHeight="1">
      <c r="A8" s="125"/>
      <c r="B8" s="899"/>
      <c r="C8" s="130"/>
      <c r="D8" s="131" t="s">
        <v>102</v>
      </c>
      <c r="E8" s="132"/>
      <c r="F8" s="133"/>
      <c r="I8" s="569"/>
      <c r="J8" s="45"/>
      <c r="K8" s="570"/>
    </row>
    <row r="9" spans="1:11" s="51" customFormat="1" ht="18" customHeight="1">
      <c r="A9" s="125"/>
      <c r="B9" s="899">
        <v>1</v>
      </c>
      <c r="C9" s="134" t="s">
        <v>468</v>
      </c>
      <c r="D9" s="885">
        <f>IF('Facility Info'!$E$36=1,'Facility Info'!$E$33,0)</f>
        <v>0</v>
      </c>
      <c r="E9" s="886"/>
      <c r="F9" s="887"/>
      <c r="I9" s="687" t="s">
        <v>444</v>
      </c>
      <c r="J9" s="688"/>
      <c r="K9" s="689"/>
    </row>
    <row r="10" spans="1:11" s="51" customFormat="1" ht="18" customHeight="1">
      <c r="A10" s="125"/>
      <c r="B10" s="899">
        <v>2</v>
      </c>
      <c r="C10" s="134" t="s">
        <v>448</v>
      </c>
      <c r="D10" s="886">
        <f>'Facility Info'!$E$37</f>
        <v>0</v>
      </c>
      <c r="E10" s="874"/>
      <c r="F10" s="871"/>
      <c r="I10" s="696" t="s">
        <v>441</v>
      </c>
      <c r="J10" s="726">
        <v>131</v>
      </c>
      <c r="K10" s="698"/>
    </row>
    <row r="11" spans="1:11" s="51" customFormat="1" ht="18" customHeight="1">
      <c r="A11" s="125"/>
      <c r="B11" s="899">
        <v>3</v>
      </c>
      <c r="C11" s="134" t="s">
        <v>469</v>
      </c>
      <c r="D11" s="885">
        <f>IF((D9*(1-D10))&gt;J7,D9*(1-D10),0)</f>
        <v>0</v>
      </c>
      <c r="E11" s="873"/>
      <c r="F11" s="872"/>
      <c r="I11" s="569"/>
      <c r="J11" s="45"/>
      <c r="K11" s="570"/>
    </row>
    <row r="12" spans="1:11" s="51" customFormat="1" ht="18" customHeight="1">
      <c r="A12" s="125"/>
      <c r="B12" s="899"/>
      <c r="C12" s="134"/>
      <c r="D12" s="885"/>
      <c r="E12" s="873"/>
      <c r="F12" s="872"/>
      <c r="I12" s="733" t="s">
        <v>438</v>
      </c>
      <c r="J12" s="734"/>
      <c r="K12" s="735"/>
    </row>
    <row r="13" spans="1:11" s="51" customFormat="1" ht="18" customHeight="1">
      <c r="A13" s="125"/>
      <c r="B13" s="899">
        <v>4</v>
      </c>
      <c r="C13" s="888" t="str">
        <f>'Facility Info'!C38</f>
        <v>Sq. Miles Served by EMS</v>
      </c>
      <c r="D13" s="889">
        <f>EMSArea</f>
        <v>0</v>
      </c>
      <c r="E13" s="917"/>
      <c r="F13" s="872"/>
      <c r="I13" s="749" t="s">
        <v>396</v>
      </c>
      <c r="J13" s="684">
        <v>3250</v>
      </c>
      <c r="K13" s="735"/>
    </row>
    <row r="14" spans="1:11" s="51" customFormat="1" ht="18" customHeight="1">
      <c r="A14" s="125"/>
      <c r="B14" s="899">
        <v>5</v>
      </c>
      <c r="C14" s="888" t="s">
        <v>471</v>
      </c>
      <c r="D14" s="889">
        <f>IF(D10=1,0,IF(E14&gt;0,E14,+D11/1000*J10))</f>
        <v>0</v>
      </c>
      <c r="E14" s="893"/>
      <c r="F14" s="872" t="s">
        <v>472</v>
      </c>
      <c r="I14" s="753"/>
      <c r="J14" s="754"/>
      <c r="K14" s="735"/>
    </row>
    <row r="15" spans="1:11" s="51" customFormat="1" ht="18" customHeight="1">
      <c r="A15" s="125"/>
      <c r="B15" s="899"/>
      <c r="C15" s="888"/>
      <c r="D15" s="888"/>
      <c r="E15" s="873"/>
      <c r="F15" s="872"/>
      <c r="I15" s="757"/>
      <c r="J15" s="758" t="s">
        <v>433</v>
      </c>
      <c r="K15" s="759" t="s">
        <v>432</v>
      </c>
    </row>
    <row r="16" spans="1:11" s="51" customFormat="1" ht="18" customHeight="1">
      <c r="A16" s="125"/>
      <c r="B16" s="899"/>
      <c r="C16" s="880" t="s">
        <v>470</v>
      </c>
      <c r="D16" s="876" t="s">
        <v>329</v>
      </c>
      <c r="E16" s="873"/>
      <c r="F16" s="872"/>
      <c r="I16" s="749" t="s">
        <v>426</v>
      </c>
      <c r="J16" s="768">
        <f>0.4*2.5</f>
        <v>1</v>
      </c>
      <c r="K16" s="769">
        <f>0</f>
        <v>0</v>
      </c>
    </row>
    <row r="17" spans="1:11" s="51" customFormat="1" ht="18" customHeight="1">
      <c r="A17" s="125"/>
      <c r="B17" s="899">
        <v>6</v>
      </c>
      <c r="C17" s="880" t="s">
        <v>378</v>
      </c>
      <c r="D17" s="890">
        <f>IF(D11&lt;J13,(D11/1000*J16+K16),((D11/1000*J17+K17)))</f>
        <v>0</v>
      </c>
      <c r="E17" s="873"/>
      <c r="F17" s="872"/>
      <c r="I17" s="696" t="s">
        <v>422</v>
      </c>
      <c r="J17" s="768">
        <v>0.45</v>
      </c>
      <c r="K17" s="775">
        <v>2</v>
      </c>
    </row>
    <row r="18" spans="1:11" s="51" customFormat="1" ht="18" customHeight="1">
      <c r="A18" s="125"/>
      <c r="B18" s="899">
        <v>7</v>
      </c>
      <c r="C18" s="1879" t="s">
        <v>1031</v>
      </c>
      <c r="D18" s="890">
        <f>IF(D13&lt;J20,D13/1000*J23+K23,D13/1000*J24+K24)</f>
        <v>0</v>
      </c>
      <c r="E18" s="873"/>
      <c r="F18" s="872"/>
      <c r="I18" s="569"/>
      <c r="J18" s="45" t="s">
        <v>420</v>
      </c>
      <c r="K18" s="570"/>
    </row>
    <row r="19" spans="1:11" s="51" customFormat="1" ht="18" customHeight="1">
      <c r="A19" s="125"/>
      <c r="B19" s="899">
        <v>8</v>
      </c>
      <c r="C19" s="880" t="s">
        <v>376</v>
      </c>
      <c r="D19" s="890">
        <f>IF(D14&lt;J27,D14/1000*J30+K30,D14/1000*J31+K31)</f>
        <v>0</v>
      </c>
      <c r="E19" s="873"/>
      <c r="F19" s="872"/>
      <c r="I19" s="733" t="s">
        <v>413</v>
      </c>
      <c r="J19" s="734"/>
      <c r="K19" s="787"/>
    </row>
    <row r="20" spans="1:11" s="51" customFormat="1" ht="18" customHeight="1">
      <c r="A20" s="125"/>
      <c r="B20" s="899">
        <v>9</v>
      </c>
      <c r="C20" s="880" t="s">
        <v>375</v>
      </c>
      <c r="D20" s="891">
        <f>SUM(D17:D19)</f>
        <v>0</v>
      </c>
      <c r="E20" s="873"/>
      <c r="F20" s="872"/>
      <c r="I20" s="749" t="s">
        <v>396</v>
      </c>
      <c r="J20" s="684">
        <v>15540</v>
      </c>
      <c r="K20" s="787"/>
    </row>
    <row r="21" spans="1:11" s="51" customFormat="1" ht="18" customHeight="1">
      <c r="A21" s="125"/>
      <c r="B21" s="899">
        <v>10</v>
      </c>
      <c r="C21" s="880" t="s">
        <v>374</v>
      </c>
      <c r="D21" s="890">
        <f>IF(D10=1,0,IF(D20&lt;J34,J34,D20))</f>
        <v>0</v>
      </c>
      <c r="E21" s="873"/>
      <c r="F21" s="872"/>
      <c r="I21" s="753"/>
      <c r="J21" s="754"/>
      <c r="K21" s="735"/>
    </row>
    <row r="22" spans="1:11" s="51" customFormat="1" ht="18" customHeight="1">
      <c r="A22" s="125"/>
      <c r="B22" s="899"/>
      <c r="C22" s="134"/>
      <c r="D22" s="885"/>
      <c r="E22" s="873"/>
      <c r="F22" s="872"/>
      <c r="I22" s="757"/>
      <c r="J22" s="758" t="s">
        <v>404</v>
      </c>
      <c r="K22" s="759" t="s">
        <v>394</v>
      </c>
    </row>
    <row r="23" spans="1:11" s="51" customFormat="1" ht="18" customHeight="1">
      <c r="A23" s="125"/>
      <c r="B23" s="899">
        <v>11</v>
      </c>
      <c r="C23" s="134" t="s">
        <v>473</v>
      </c>
      <c r="D23" s="885"/>
      <c r="E23" s="873"/>
      <c r="F23" s="872"/>
      <c r="I23" s="749" t="s">
        <v>402</v>
      </c>
      <c r="J23" s="811">
        <v>0.31900000000000001</v>
      </c>
      <c r="K23" s="769">
        <v>0</v>
      </c>
    </row>
    <row r="24" spans="1:11" s="51" customFormat="1" ht="18" customHeight="1">
      <c r="A24" s="125"/>
      <c r="B24" s="899">
        <v>12</v>
      </c>
      <c r="C24" s="134" t="s">
        <v>371</v>
      </c>
      <c r="D24" s="881">
        <f>CEILING(IF(D21&gt;43,(D21-6)*0.5,IF(D21&gt;=23,(D21-4)*0.5,IF(D21&gt;=10,(D21-2)*0.5,0))),0.5)</f>
        <v>0</v>
      </c>
      <c r="E24" s="873"/>
      <c r="F24" s="872"/>
      <c r="I24" s="696" t="s">
        <v>400</v>
      </c>
      <c r="J24" s="811">
        <v>0.183</v>
      </c>
      <c r="K24" s="775">
        <v>2.25</v>
      </c>
    </row>
    <row r="25" spans="1:11" s="51" customFormat="1" ht="18" customHeight="1">
      <c r="A25" s="125"/>
      <c r="B25" s="899">
        <v>13</v>
      </c>
      <c r="C25" s="134" t="s">
        <v>370</v>
      </c>
      <c r="D25" s="881">
        <f>CEILING(IF(D21&gt;43,(D21-6)*0.5,IF(D21&gt;=23,(D21-4)*0.5,IF(D21&gt;=10,(D21-2)*0.5,0))),0.5)</f>
        <v>0</v>
      </c>
      <c r="E25" s="874"/>
      <c r="F25" s="871"/>
      <c r="I25" s="569"/>
      <c r="J25" s="45"/>
      <c r="K25" s="570"/>
    </row>
    <row r="26" spans="1:11" s="51" customFormat="1" ht="18" customHeight="1">
      <c r="A26" s="125"/>
      <c r="B26" s="899">
        <v>14</v>
      </c>
      <c r="C26" s="877" t="s">
        <v>369</v>
      </c>
      <c r="D26" s="881">
        <f>CEILING(IF(D21&gt;43,3,IF(D21&gt;=23,2,IF(D21&gt;=10,1,0))),0.5)</f>
        <v>0</v>
      </c>
      <c r="E26" s="874"/>
      <c r="F26" s="871"/>
      <c r="I26" s="733" t="s">
        <v>397</v>
      </c>
      <c r="J26" s="734"/>
      <c r="K26" s="787"/>
    </row>
    <row r="27" spans="1:11" s="51" customFormat="1" ht="18" customHeight="1">
      <c r="A27" s="125"/>
      <c r="B27" s="899">
        <v>15</v>
      </c>
      <c r="C27" s="879" t="s">
        <v>474</v>
      </c>
      <c r="D27" s="882">
        <f>CEILING(IF(D21&gt;43,3,IF(D21&gt;=23,2,IF(D21&gt;=10,1,0))),0.5)</f>
        <v>0</v>
      </c>
      <c r="E27" s="878"/>
      <c r="F27" s="871"/>
      <c r="I27" s="749" t="s">
        <v>396</v>
      </c>
      <c r="J27" s="819">
        <v>1250</v>
      </c>
      <c r="K27" s="787"/>
    </row>
    <row r="28" spans="1:11" s="51" customFormat="1" ht="18" customHeight="1" thickBot="1">
      <c r="A28" s="125"/>
      <c r="B28" s="900">
        <v>16</v>
      </c>
      <c r="C28" s="883" t="s">
        <v>328</v>
      </c>
      <c r="D28" s="892">
        <f>SUM(D24:D27)</f>
        <v>0</v>
      </c>
      <c r="E28" s="884"/>
      <c r="F28" s="875"/>
      <c r="I28" s="753"/>
      <c r="J28" s="754"/>
      <c r="K28" s="735"/>
    </row>
    <row r="29" spans="1:11" ht="18" customHeight="1">
      <c r="A29" s="140"/>
      <c r="B29" s="916"/>
      <c r="C29" s="155"/>
      <c r="D29" s="157"/>
      <c r="E29" s="158"/>
      <c r="F29" s="159"/>
      <c r="I29" s="757"/>
      <c r="J29" s="758" t="s">
        <v>395</v>
      </c>
      <c r="K29" s="759" t="s">
        <v>394</v>
      </c>
    </row>
    <row r="30" spans="1:11" ht="18" customHeight="1">
      <c r="A30" s="140"/>
      <c r="B30" s="1939"/>
      <c r="C30" s="1939"/>
      <c r="D30" s="1939"/>
      <c r="E30" s="1939"/>
      <c r="F30" s="1939"/>
      <c r="I30" s="749" t="s">
        <v>393</v>
      </c>
      <c r="J30" s="821">
        <f>2.5*2.5</f>
        <v>6.25</v>
      </c>
      <c r="K30" s="769">
        <v>0</v>
      </c>
    </row>
    <row r="31" spans="1:11" ht="18" customHeight="1">
      <c r="A31" s="140"/>
      <c r="B31" s="1939"/>
      <c r="C31" s="1939"/>
      <c r="D31" s="1939"/>
      <c r="E31" s="1939"/>
      <c r="F31" s="1939"/>
      <c r="I31" s="696" t="s">
        <v>392</v>
      </c>
      <c r="J31" s="768">
        <v>3.5</v>
      </c>
      <c r="K31" s="775">
        <v>3.5</v>
      </c>
    </row>
    <row r="32" spans="1:11" ht="18" customHeight="1">
      <c r="A32" s="140"/>
      <c r="B32" s="1939"/>
      <c r="C32" s="1939"/>
      <c r="D32" s="1939"/>
      <c r="E32" s="1939"/>
      <c r="F32" s="1939"/>
      <c r="I32" s="569"/>
      <c r="J32" s="45"/>
      <c r="K32" s="570"/>
    </row>
    <row r="33" spans="1:11" s="51" customFormat="1" ht="18" customHeight="1">
      <c r="A33" s="125"/>
      <c r="B33" s="1939"/>
      <c r="C33" s="1939"/>
      <c r="D33" s="1939"/>
      <c r="E33" s="1939"/>
      <c r="F33" s="1939"/>
      <c r="I33" s="687" t="s">
        <v>391</v>
      </c>
      <c r="J33" s="688"/>
      <c r="K33" s="689"/>
    </row>
    <row r="34" spans="1:11" s="51" customFormat="1" ht="18" customHeight="1">
      <c r="A34" s="125"/>
      <c r="B34" s="1939"/>
      <c r="C34" s="1939"/>
      <c r="D34" s="1939"/>
      <c r="E34" s="1939"/>
      <c r="F34" s="1939"/>
      <c r="I34" s="696" t="s">
        <v>390</v>
      </c>
      <c r="J34" s="726">
        <f>IF('Facility Info'!$E$36=1,11,0)</f>
        <v>0</v>
      </c>
      <c r="K34" s="698"/>
    </row>
    <row r="35" spans="1:11" ht="18" customHeight="1">
      <c r="B35" s="1939"/>
      <c r="C35" s="1939"/>
      <c r="D35" s="1939"/>
      <c r="E35" s="1939"/>
      <c r="F35" s="1939"/>
    </row>
    <row r="36" spans="1:11" ht="18" customHeight="1">
      <c r="B36" s="1939"/>
      <c r="C36" s="1939"/>
      <c r="D36" s="1939"/>
      <c r="E36" s="1939"/>
      <c r="F36" s="1939"/>
    </row>
    <row r="37" spans="1:11" ht="18" customHeight="1">
      <c r="B37" s="1939"/>
      <c r="C37" s="1939"/>
      <c r="D37" s="1939"/>
      <c r="E37" s="1939"/>
      <c r="F37" s="1939"/>
    </row>
    <row r="38" spans="1:11" ht="18" customHeight="1">
      <c r="C38" s="155"/>
      <c r="D38" s="157"/>
      <c r="E38" s="158"/>
      <c r="F38" s="159"/>
    </row>
    <row r="39" spans="1:11" ht="18" customHeight="1"/>
    <row r="40" spans="1:11" ht="18" customHeight="1"/>
    <row r="41" spans="1:11" ht="18" customHeight="1"/>
    <row r="42" spans="1:11" ht="18" customHeight="1"/>
    <row r="43" spans="1:11" ht="18" customHeight="1"/>
    <row r="44" spans="1:11" ht="18" customHeight="1"/>
    <row r="45" spans="1:11" ht="18" customHeight="1"/>
    <row r="51" spans="2:6">
      <c r="D51" s="23"/>
      <c r="F51" s="23"/>
    </row>
    <row r="52" spans="2:6">
      <c r="D52" s="23"/>
      <c r="F52" s="23"/>
    </row>
    <row r="53" spans="2:6">
      <c r="D53" s="23"/>
      <c r="F53" s="23"/>
    </row>
    <row r="54" spans="2:6">
      <c r="B54" s="902"/>
      <c r="D54" s="23"/>
      <c r="F54" s="23"/>
    </row>
    <row r="55" spans="2:6">
      <c r="B55" s="902"/>
      <c r="D55" s="23"/>
      <c r="F55" s="23"/>
    </row>
    <row r="56" spans="2:6">
      <c r="B56" s="902"/>
      <c r="D56" s="23"/>
      <c r="F56" s="23"/>
    </row>
    <row r="57" spans="2:6">
      <c r="B57" s="902"/>
      <c r="D57" s="23"/>
      <c r="F57" s="23"/>
    </row>
    <row r="58" spans="2:6">
      <c r="B58" s="902"/>
      <c r="C58" s="160"/>
      <c r="E58" s="51"/>
      <c r="F58" s="104"/>
    </row>
    <row r="59" spans="2:6">
      <c r="B59" s="902"/>
      <c r="D59" s="161"/>
      <c r="E59" s="162"/>
      <c r="F59" s="23"/>
    </row>
    <row r="60" spans="2:6">
      <c r="B60" s="902"/>
      <c r="F60" s="23"/>
    </row>
    <row r="61" spans="2:6">
      <c r="F61" s="23"/>
    </row>
    <row r="62" spans="2:6">
      <c r="F62" s="23"/>
    </row>
    <row r="63" spans="2:6">
      <c r="F63" s="23"/>
    </row>
    <row r="64" spans="2:6">
      <c r="F64" s="23"/>
    </row>
    <row r="65" spans="4:6">
      <c r="D65" s="162"/>
      <c r="E65" s="162"/>
      <c r="F65" s="23"/>
    </row>
    <row r="66" spans="4:6">
      <c r="D66" s="162"/>
      <c r="E66" s="162"/>
      <c r="F66" s="23"/>
    </row>
    <row r="67" spans="4:6">
      <c r="D67" s="162"/>
      <c r="E67" s="162"/>
      <c r="F67" s="23"/>
    </row>
    <row r="68" spans="4:6">
      <c r="D68" s="162"/>
      <c r="E68" s="162"/>
      <c r="F68" s="23"/>
    </row>
    <row r="69" spans="4:6">
      <c r="D69" s="162"/>
      <c r="E69" s="162"/>
      <c r="F69" s="23"/>
    </row>
    <row r="70" spans="4:6">
      <c r="D70" s="162"/>
      <c r="E70" s="162"/>
      <c r="F70" s="23"/>
    </row>
  </sheetData>
  <sheetProtection algorithmName="SHA-512" hashValue="VQMT68vG/tamMwYwdsuqKLaBPN1YQaqUJnRPbmZvu6SEyzE/AKx6NmjNNM2Bj8j1c4TyoRlI/gbtgfDIxSFMgw==" saltValue="vl9xMcHRchDoYdCypu3m9A==" spinCount="100000" sheet="1" objects="1" scenarios="1"/>
  <customSheetViews>
    <customSheetView guid="{82538F0F-5202-4835-8386-243FA62C9FC1}" fitToPage="1" state="hidden">
      <selection activeCell="G1" sqref="G1:IS65536"/>
      <rowBreaks count="1" manualBreakCount="1">
        <brk id="49" max="16383" man="1"/>
      </rowBreaks>
      <pageMargins left="0.75" right="0.75" top="0.75" bottom="1" header="0.5" footer="0.5"/>
      <printOptions horizontalCentered="1"/>
      <pageSetup scale="76" firstPageNumber="3" orientation="portrait" useFirstPageNumber="1" horizontalDpi="300" verticalDpi="196" r:id="rId1"/>
      <headerFooter alignWithMargins="0">
        <oddFooter>&amp;C&amp;"Arial,Bold"Page &amp;P</oddFooter>
      </headerFooter>
    </customSheetView>
  </customSheetViews>
  <mergeCells count="1">
    <mergeCell ref="B30:F37"/>
  </mergeCells>
  <phoneticPr fontId="0" type="noConversion"/>
  <printOptions horizontalCentered="1"/>
  <pageMargins left="0.75" right="0.75" top="0.75" bottom="1" header="0.5" footer="0.5"/>
  <pageSetup scale="76" firstPageNumber="3" orientation="portrait" useFirstPageNumber="1" horizontalDpi="300" verticalDpi="196" r:id="rId2"/>
  <headerFooter alignWithMargins="0">
    <oddFooter>&amp;C&amp;"Arial,Bold"Page &amp;P</oddFooter>
  </headerFooter>
  <rowBreaks count="1" manualBreakCount="1">
    <brk id="49" max="16383" man="1"/>
  </rowBreak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pageSetUpPr autoPageBreaks="0" fitToPage="1"/>
  </sheetPr>
  <dimension ref="A1:IW104"/>
  <sheetViews>
    <sheetView topLeftCell="B1" zoomScale="70" zoomScaleNormal="70" zoomScaleSheetLayoutView="40" workbookViewId="0">
      <selection activeCell="B30" sqref="B30"/>
    </sheetView>
  </sheetViews>
  <sheetFormatPr defaultColWidth="0" defaultRowHeight="20.25" zeroHeight="1"/>
  <cols>
    <col min="1" max="1" width="5.75" style="379" hidden="1" customWidth="1" collapsed="1"/>
    <col min="2" max="2" width="3.75" style="378" customWidth="1" collapsed="1"/>
    <col min="3" max="3" width="10" style="379" customWidth="1" collapsed="1"/>
    <col min="4" max="4" width="47.5" style="379" customWidth="1" collapsed="1"/>
    <col min="5" max="5" width="22.5" style="465" customWidth="1" collapsed="1"/>
    <col min="6" max="8" width="15" style="381" customWidth="1" collapsed="1"/>
    <col min="9" max="9" width="22.5" style="381" customWidth="1" collapsed="1"/>
    <col min="10" max="12" width="15" style="381" customWidth="1" collapsed="1"/>
    <col min="13" max="13" width="15.125" style="382" customWidth="1" collapsed="1"/>
    <col min="14" max="14" width="8.625" style="379" customWidth="1" collapsed="1"/>
    <col min="15" max="15" width="12.625" style="379" hidden="1" customWidth="1" collapsed="1"/>
    <col min="16" max="156" width="9" style="379" hidden="1" customWidth="1" collapsed="1"/>
    <col min="157" max="157" width="0" style="379" hidden="1" customWidth="1" collapsed="1"/>
    <col min="158" max="255" width="0" style="379" hidden="1" customWidth="1"/>
    <col min="256" max="256" width="6" style="379" hidden="1" customWidth="1" collapsed="1"/>
    <col min="257" max="257" width="6" style="379" hidden="1" customWidth="1"/>
    <col min="258" max="16384" width="6" style="379" hidden="1" collapsed="1"/>
  </cols>
  <sheetData>
    <row r="1" spans="1:15" s="386" customFormat="1" ht="20.100000000000001" customHeight="1">
      <c r="A1" s="371"/>
      <c r="B1" s="1417" t="s">
        <v>248</v>
      </c>
      <c r="C1" s="371"/>
      <c r="D1" s="1416"/>
      <c r="E1" s="1940" t="s">
        <v>249</v>
      </c>
      <c r="F1" s="1941"/>
      <c r="G1" s="1941"/>
      <c r="H1" s="1941"/>
      <c r="I1" s="1941"/>
      <c r="J1" s="1941"/>
      <c r="K1" s="1416"/>
      <c r="L1" s="1422" t="str">
        <f>'Facility Info'!$F$1</f>
        <v>Last Update:</v>
      </c>
      <c r="M1" s="1609">
        <f>'Facility Info'!$G$1</f>
        <v>43902</v>
      </c>
      <c r="N1" s="1416"/>
    </row>
    <row r="2" spans="1:15" s="386" customFormat="1" ht="20.100000000000001" customHeight="1">
      <c r="A2" s="371"/>
      <c r="B2" s="1416"/>
      <c r="C2" s="1416"/>
      <c r="D2" s="1417"/>
      <c r="E2" s="1418"/>
      <c r="F2" s="1419"/>
      <c r="G2" s="1420"/>
      <c r="H2" s="1421"/>
      <c r="I2" s="1421"/>
      <c r="J2" s="1421"/>
      <c r="K2" s="1416"/>
      <c r="L2" s="1422" t="str">
        <f>'Facility Info'!$F$2</f>
        <v>Today's Date:</v>
      </c>
      <c r="M2" s="1409">
        <f ca="1">'Facility Info'!$G$2</f>
        <v>43944.347985416665</v>
      </c>
      <c r="N2" s="1416"/>
      <c r="O2" s="387"/>
    </row>
    <row r="3" spans="1:15" s="386" customFormat="1" ht="20.100000000000001" customHeight="1">
      <c r="A3" s="371"/>
      <c r="B3" s="1749"/>
      <c r="C3" s="1425"/>
      <c r="D3" s="1426"/>
      <c r="E3" s="1942" t="str">
        <f>FAC_INFO_HSP_PROJECT_NAME</f>
        <v>Proposed Project</v>
      </c>
      <c r="F3" s="1943"/>
      <c r="G3" s="1943"/>
      <c r="H3" s="1943"/>
      <c r="I3" s="1943"/>
      <c r="J3" s="1943"/>
      <c r="K3" s="1427"/>
      <c r="L3" s="1427"/>
      <c r="M3" s="1426"/>
      <c r="N3" s="1425"/>
      <c r="O3" s="387"/>
    </row>
    <row r="4" spans="1:15" ht="20.100000000000001" customHeight="1" thickBot="1">
      <c r="A4" s="371"/>
      <c r="B4" s="371"/>
      <c r="C4" s="1430"/>
      <c r="D4" s="371"/>
      <c r="E4" s="1431"/>
      <c r="F4" s="1432"/>
      <c r="G4" s="1433"/>
      <c r="H4" s="1434"/>
      <c r="I4" s="1434"/>
      <c r="J4" s="1435"/>
      <c r="K4" s="1434"/>
      <c r="L4" s="1434"/>
      <c r="M4" s="1430"/>
      <c r="N4" s="371"/>
      <c r="O4" s="388"/>
    </row>
    <row r="5" spans="1:15" s="378" customFormat="1" ht="20.100000000000001" customHeight="1">
      <c r="A5" s="371"/>
      <c r="B5" s="1437"/>
      <c r="C5" s="1438"/>
      <c r="D5" s="1439"/>
      <c r="E5" s="1440"/>
      <c r="F5" s="1441"/>
      <c r="G5" s="1442"/>
      <c r="H5" s="1443"/>
      <c r="I5" s="1443"/>
      <c r="J5" s="1443"/>
      <c r="K5" s="1443"/>
      <c r="L5" s="1443"/>
      <c r="M5" s="1438"/>
      <c r="N5" s="1444"/>
      <c r="O5" s="390"/>
    </row>
    <row r="6" spans="1:15" s="378" customFormat="1" ht="20.100000000000001" customHeight="1">
      <c r="A6" s="371"/>
      <c r="B6" s="1445" t="s">
        <v>871</v>
      </c>
      <c r="C6" s="1446"/>
      <c r="D6" s="1447"/>
      <c r="E6" s="1448"/>
      <c r="F6" s="1449"/>
      <c r="G6" s="1450"/>
      <c r="H6" s="1451"/>
      <c r="I6" s="1451"/>
      <c r="J6" s="1451"/>
      <c r="K6" s="1451"/>
      <c r="L6" s="1451"/>
      <c r="M6" s="1451"/>
      <c r="N6" s="1452"/>
      <c r="O6" s="391"/>
    </row>
    <row r="7" spans="1:15" s="378" customFormat="1" ht="20.100000000000001" customHeight="1">
      <c r="A7" s="371"/>
      <c r="B7" s="1453"/>
      <c r="C7" s="1454" t="s">
        <v>144</v>
      </c>
      <c r="D7" s="1447"/>
      <c r="E7" s="1455" t="s">
        <v>145</v>
      </c>
      <c r="F7" s="1456" t="s">
        <v>146</v>
      </c>
      <c r="G7" s="1456" t="s">
        <v>289</v>
      </c>
      <c r="H7" s="1457" t="s">
        <v>287</v>
      </c>
      <c r="I7" s="1457" t="s">
        <v>145</v>
      </c>
      <c r="J7" s="1456" t="s">
        <v>146</v>
      </c>
      <c r="K7" s="1457" t="s">
        <v>289</v>
      </c>
      <c r="L7" s="1457" t="s">
        <v>287</v>
      </c>
      <c r="M7" s="1458" t="s">
        <v>147</v>
      </c>
      <c r="N7" s="1459" t="s">
        <v>795</v>
      </c>
      <c r="O7" s="391"/>
    </row>
    <row r="8" spans="1:15" ht="20.100000000000001" customHeight="1" thickBot="1">
      <c r="A8" s="371"/>
      <c r="B8" s="1460"/>
      <c r="C8" s="1461"/>
      <c r="D8" s="1462" t="s">
        <v>149</v>
      </c>
      <c r="E8" s="1463"/>
      <c r="F8" s="1464"/>
      <c r="G8" s="1464"/>
      <c r="H8" s="1465"/>
      <c r="I8" s="1465"/>
      <c r="J8" s="1465"/>
      <c r="K8" s="1465"/>
      <c r="L8" s="1465"/>
      <c r="M8" s="1466"/>
      <c r="N8" s="1467"/>
      <c r="O8" s="388"/>
    </row>
    <row r="9" spans="1:15" ht="20.100000000000001" customHeight="1">
      <c r="A9" s="1324"/>
      <c r="B9" s="199"/>
      <c r="C9" s="183"/>
      <c r="D9" s="200"/>
      <c r="E9" s="392"/>
      <c r="F9" s="393"/>
      <c r="G9" s="393"/>
      <c r="H9" s="393"/>
      <c r="I9" s="393"/>
      <c r="J9" s="393"/>
      <c r="K9" s="393"/>
      <c r="L9" s="393"/>
      <c r="M9" s="394"/>
      <c r="N9" s="395"/>
    </row>
    <row r="10" spans="1:15" s="403" customFormat="1" ht="20.100000000000001" customHeight="1" thickBot="1">
      <c r="A10" s="1323"/>
      <c r="B10" s="396" t="s">
        <v>250</v>
      </c>
      <c r="C10" s="261"/>
      <c r="D10" s="397"/>
      <c r="E10" s="399"/>
      <c r="F10" s="400"/>
      <c r="G10" s="400"/>
      <c r="H10" s="400"/>
      <c r="I10" s="400"/>
      <c r="J10" s="400"/>
      <c r="K10" s="400"/>
      <c r="L10" s="400"/>
      <c r="M10" s="401"/>
      <c r="N10" s="402"/>
    </row>
    <row r="11" spans="1:15" s="415" customFormat="1" ht="20.100000000000001" customHeight="1">
      <c r="A11" s="1323"/>
      <c r="B11" s="221"/>
      <c r="C11" s="408" t="s">
        <v>251</v>
      </c>
      <c r="D11" s="242"/>
      <c r="E11" s="410"/>
      <c r="F11" s="411"/>
      <c r="G11" s="411"/>
      <c r="H11" s="411"/>
      <c r="I11" s="411"/>
      <c r="J11" s="411"/>
      <c r="K11" s="411"/>
      <c r="L11" s="411"/>
      <c r="M11" s="412"/>
      <c r="N11" s="413"/>
      <c r="O11" s="414"/>
    </row>
    <row r="12" spans="1:15" s="384" customFormat="1" ht="20.100000000000001" customHeight="1">
      <c r="A12" s="1325">
        <v>35</v>
      </c>
      <c r="B12" s="1051"/>
      <c r="C12" s="182"/>
      <c r="D12" s="182" t="s">
        <v>252</v>
      </c>
      <c r="E12" s="1053" t="s">
        <v>157</v>
      </c>
      <c r="F12" s="1054">
        <v>1</v>
      </c>
      <c r="G12" s="1054"/>
      <c r="H12" s="1055">
        <v>1</v>
      </c>
      <c r="I12" s="1056" t="s">
        <v>220</v>
      </c>
      <c r="J12" s="1054">
        <v>4400</v>
      </c>
      <c r="K12" s="1054"/>
      <c r="L12" s="1057">
        <f>1/0.94</f>
        <v>1.0638297872340425</v>
      </c>
      <c r="M12" s="1057">
        <f>IF(PCPV&lt;J12, H12, (H12+(PCPV-J12)/J12*L12))*(FAC_INFO_FAC_TYPE&lt;&gt;1)</f>
        <v>0</v>
      </c>
      <c r="N12" s="1040"/>
    </row>
    <row r="13" spans="1:15" ht="20.100000000000001" customHeight="1">
      <c r="A13" s="1325">
        <v>37</v>
      </c>
      <c r="B13" s="199"/>
      <c r="C13" s="183"/>
      <c r="D13" s="345" t="s">
        <v>253</v>
      </c>
      <c r="E13" s="349" t="s">
        <v>254</v>
      </c>
      <c r="F13" s="347">
        <v>20000</v>
      </c>
      <c r="G13" s="347"/>
      <c r="H13" s="361">
        <v>1</v>
      </c>
      <c r="I13" s="346"/>
      <c r="J13" s="347"/>
      <c r="K13" s="347"/>
      <c r="L13" s="348"/>
      <c r="M13" s="348">
        <f>CHP/F13*H13</f>
        <v>0</v>
      </c>
      <c r="N13" s="1040"/>
    </row>
    <row r="14" spans="1:15" ht="20.100000000000001" customHeight="1">
      <c r="A14" s="1325">
        <v>38</v>
      </c>
      <c r="B14" s="199"/>
      <c r="C14" s="183"/>
      <c r="D14" s="183" t="s">
        <v>255</v>
      </c>
      <c r="E14" s="229" t="s">
        <v>256</v>
      </c>
      <c r="H14" s="228">
        <v>0.2</v>
      </c>
      <c r="I14" s="328" t="s">
        <v>356</v>
      </c>
      <c r="J14" s="228"/>
      <c r="K14" s="228"/>
      <c r="L14" s="228"/>
      <c r="M14" s="228">
        <f>IF('Facility Info'!E36=1, H14, 0)</f>
        <v>0</v>
      </c>
      <c r="N14" s="1040"/>
    </row>
    <row r="15" spans="1:15" ht="20.100000000000001" customHeight="1">
      <c r="A15" s="1325">
        <v>39</v>
      </c>
      <c r="B15" s="199"/>
      <c r="C15" s="183"/>
      <c r="D15" s="183" t="s">
        <v>165</v>
      </c>
      <c r="E15" s="229" t="s">
        <v>505</v>
      </c>
      <c r="F15" s="328">
        <v>4400</v>
      </c>
      <c r="G15" s="328"/>
      <c r="H15" s="228">
        <v>0.25</v>
      </c>
      <c r="I15" s="228"/>
      <c r="J15" s="228"/>
      <c r="K15" s="228"/>
      <c r="L15" s="228"/>
      <c r="M15" s="228">
        <f>(PCPV+'Outpatient Workload'!D13)/F15*H15</f>
        <v>0</v>
      </c>
      <c r="N15" s="1040"/>
    </row>
    <row r="16" spans="1:15" ht="20.100000000000001" customHeight="1" thickBot="1">
      <c r="A16" s="1324"/>
      <c r="B16" s="232"/>
      <c r="C16" s="234"/>
      <c r="D16" s="234"/>
      <c r="E16" s="398"/>
      <c r="F16" s="400"/>
      <c r="G16" s="400"/>
      <c r="H16" s="417"/>
      <c r="I16" s="417"/>
      <c r="J16" s="417"/>
      <c r="K16" s="417"/>
      <c r="L16" s="417"/>
      <c r="M16" s="588">
        <f>SUM(M12:M15)</f>
        <v>0</v>
      </c>
      <c r="N16" s="402"/>
    </row>
    <row r="17" spans="1:14" s="415" customFormat="1" ht="20.100000000000001" customHeight="1">
      <c r="A17" s="1323"/>
      <c r="B17" s="418"/>
      <c r="C17" s="222" t="s">
        <v>581</v>
      </c>
      <c r="D17" s="242"/>
      <c r="E17" s="409"/>
      <c r="F17" s="411"/>
      <c r="G17" s="411"/>
      <c r="H17" s="419"/>
      <c r="I17" s="419"/>
      <c r="J17" s="419"/>
      <c r="K17" s="419"/>
      <c r="L17" s="419"/>
      <c r="M17" s="419"/>
      <c r="N17" s="413"/>
    </row>
    <row r="18" spans="1:14" s="415" customFormat="1" ht="20.100000000000001" customHeight="1">
      <c r="A18" s="1323">
        <v>181</v>
      </c>
      <c r="B18" s="421"/>
      <c r="C18" s="422"/>
      <c r="D18" s="198" t="s">
        <v>582</v>
      </c>
      <c r="E18" s="229" t="s">
        <v>157</v>
      </c>
      <c r="F18" s="437"/>
      <c r="G18" s="328"/>
      <c r="H18" s="228">
        <v>1.1000000000000001</v>
      </c>
      <c r="I18" s="229" t="s">
        <v>220</v>
      </c>
      <c r="J18" s="437">
        <v>10000</v>
      </c>
      <c r="K18" s="328">
        <v>60000</v>
      </c>
      <c r="L18" s="228">
        <v>0.55000000000000004</v>
      </c>
      <c r="M18" s="228">
        <f>(PCPV&lt;=60000)*H18*PCPV/J18+(PCPV&gt;60000)*((H18*K18/J18)+(L18*(PCPV-K18)/J18))</f>
        <v>0</v>
      </c>
      <c r="N18" s="1040"/>
    </row>
    <row r="19" spans="1:14" s="415" customFormat="1" ht="20.100000000000001" customHeight="1">
      <c r="A19" s="1323">
        <v>200</v>
      </c>
      <c r="B19" s="421"/>
      <c r="C19" s="422"/>
      <c r="D19" s="198" t="s">
        <v>606</v>
      </c>
      <c r="E19" s="229" t="s">
        <v>157</v>
      </c>
      <c r="F19" s="437"/>
      <c r="G19" s="328"/>
      <c r="H19" s="228">
        <v>0.5</v>
      </c>
      <c r="I19" s="229" t="s">
        <v>220</v>
      </c>
      <c r="J19" s="437">
        <v>10000</v>
      </c>
      <c r="K19" s="437">
        <v>60000</v>
      </c>
      <c r="L19" s="228">
        <v>0.25</v>
      </c>
      <c r="M19" s="228">
        <f>(PCPV&lt;=60000)*H19*PCPV/J19+(PCPV&gt;60000)*((H19*K19/J19)+(L19*(PCPV-K19)/J19))</f>
        <v>0</v>
      </c>
      <c r="N19" s="1040"/>
    </row>
    <row r="20" spans="1:14" s="415" customFormat="1" ht="20.100000000000001" customHeight="1" thickBot="1">
      <c r="A20" s="1323"/>
      <c r="B20" s="426"/>
      <c r="C20" s="218"/>
      <c r="D20" s="192"/>
      <c r="E20" s="427"/>
      <c r="F20" s="428"/>
      <c r="G20" s="428"/>
      <c r="H20" s="429"/>
      <c r="I20" s="429"/>
      <c r="J20" s="429"/>
      <c r="K20" s="429"/>
      <c r="L20" s="429"/>
      <c r="M20" s="589">
        <f>SUM(M18:M19)</f>
        <v>0</v>
      </c>
      <c r="N20" s="430"/>
    </row>
    <row r="21" spans="1:14" s="415" customFormat="1" ht="20.100000000000001" customHeight="1">
      <c r="A21" s="1323"/>
      <c r="B21" s="418"/>
      <c r="C21" s="222" t="s">
        <v>257</v>
      </c>
      <c r="D21" s="242"/>
      <c r="E21" s="409"/>
      <c r="F21" s="411"/>
      <c r="G21" s="411"/>
      <c r="H21" s="419"/>
      <c r="I21" s="419"/>
      <c r="J21" s="419"/>
      <c r="K21" s="419"/>
      <c r="L21" s="419"/>
      <c r="M21" s="419"/>
      <c r="N21" s="413"/>
    </row>
    <row r="22" spans="1:14" s="415" customFormat="1" ht="20.100000000000001" customHeight="1">
      <c r="A22" s="1323">
        <v>400</v>
      </c>
      <c r="B22" s="421"/>
      <c r="C22" s="422"/>
      <c r="D22" s="198" t="s">
        <v>168</v>
      </c>
      <c r="E22" s="423" t="s">
        <v>258</v>
      </c>
      <c r="F22" s="424">
        <v>200</v>
      </c>
      <c r="G22" s="424"/>
      <c r="H22" s="425">
        <v>1.5</v>
      </c>
      <c r="I22" s="423" t="s">
        <v>258</v>
      </c>
      <c r="J22" s="326">
        <v>190</v>
      </c>
      <c r="K22" s="326">
        <v>200</v>
      </c>
      <c r="L22" s="247">
        <v>1</v>
      </c>
      <c r="M22" s="247">
        <f>IF(OP_WKL_Outpatient_Surgery&lt;F22,0,H22+(OP_WKL_Outpatient_Surgery-K22)/J22*L22)</f>
        <v>0</v>
      </c>
      <c r="N22" s="1040"/>
    </row>
    <row r="23" spans="1:14" s="415" customFormat="1" ht="20.100000000000001" customHeight="1" thickBot="1">
      <c r="A23" s="1323"/>
      <c r="B23" s="426"/>
      <c r="C23" s="218"/>
      <c r="D23" s="192"/>
      <c r="E23" s="427"/>
      <c r="F23" s="428"/>
      <c r="G23" s="428"/>
      <c r="H23" s="429"/>
      <c r="I23" s="429"/>
      <c r="J23" s="429"/>
      <c r="K23" s="429"/>
      <c r="L23" s="429"/>
      <c r="M23" s="589">
        <f>M22</f>
        <v>0</v>
      </c>
      <c r="N23" s="430"/>
    </row>
    <row r="24" spans="1:14" s="415" customFormat="1" ht="20.100000000000001" customHeight="1">
      <c r="A24" s="1326"/>
      <c r="B24" s="221"/>
      <c r="C24" s="431" t="s">
        <v>259</v>
      </c>
      <c r="D24" s="432"/>
      <c r="E24" s="409"/>
      <c r="F24" s="411"/>
      <c r="G24" s="411"/>
      <c r="H24" s="419"/>
      <c r="I24" s="419"/>
      <c r="J24" s="419"/>
      <c r="K24" s="419"/>
      <c r="L24" s="419"/>
      <c r="M24" s="419"/>
      <c r="N24" s="413"/>
    </row>
    <row r="25" spans="1:14" ht="20.100000000000001" customHeight="1">
      <c r="A25" s="1324">
        <v>40</v>
      </c>
      <c r="B25" s="433"/>
      <c r="C25" s="226"/>
      <c r="D25" s="268" t="s">
        <v>260</v>
      </c>
      <c r="E25" s="255" t="s">
        <v>261</v>
      </c>
      <c r="F25" s="434"/>
      <c r="G25" s="435">
        <v>3</v>
      </c>
      <c r="H25" s="254">
        <v>1</v>
      </c>
      <c r="I25" s="254"/>
      <c r="J25" s="254"/>
      <c r="K25" s="254"/>
      <c r="L25" s="254"/>
      <c r="M25" s="254">
        <f>IF(HOSPITAL,IF((M28)&gt;G25,H25,0),0)</f>
        <v>0</v>
      </c>
      <c r="N25" s="1040"/>
    </row>
    <row r="26" spans="1:14" ht="20.100000000000001" customHeight="1">
      <c r="A26" s="1324">
        <v>41</v>
      </c>
      <c r="B26" s="433"/>
      <c r="C26" s="183"/>
      <c r="D26" s="268" t="s">
        <v>262</v>
      </c>
      <c r="E26" s="255" t="s">
        <v>261</v>
      </c>
      <c r="F26" s="434"/>
      <c r="G26" s="435">
        <v>3</v>
      </c>
      <c r="H26" s="254">
        <v>1</v>
      </c>
      <c r="I26" s="254"/>
      <c r="J26" s="254"/>
      <c r="K26" s="254"/>
      <c r="L26" s="254"/>
      <c r="M26" s="254">
        <f>IF(HOSPITAL,IF((M28)&gt;G26,H26,0),0)</f>
        <v>0</v>
      </c>
      <c r="N26" s="1040"/>
    </row>
    <row r="27" spans="1:14" ht="20.100000000000001" customHeight="1">
      <c r="A27" s="1324">
        <v>42</v>
      </c>
      <c r="B27" s="436"/>
      <c r="C27" s="183"/>
      <c r="D27" s="183" t="s">
        <v>263</v>
      </c>
      <c r="E27" s="229" t="s">
        <v>220</v>
      </c>
      <c r="F27" s="183"/>
      <c r="G27" s="437">
        <v>10400</v>
      </c>
      <c r="H27" s="228">
        <v>1</v>
      </c>
      <c r="I27" s="229" t="s">
        <v>220</v>
      </c>
      <c r="J27" s="437">
        <v>16000</v>
      </c>
      <c r="K27" s="328">
        <v>10400</v>
      </c>
      <c r="L27" s="228">
        <v>1</v>
      </c>
      <c r="M27" s="228">
        <f>IF(PCPV&lt;G27, 0, (H27+(PCPV-K27)/J27*L27)*L27)</f>
        <v>0</v>
      </c>
      <c r="N27" s="1040"/>
    </row>
    <row r="28" spans="1:14" ht="20.100000000000001" customHeight="1">
      <c r="A28" s="1324">
        <v>43</v>
      </c>
      <c r="B28" s="436"/>
      <c r="C28" s="183"/>
      <c r="D28" s="183" t="s">
        <v>264</v>
      </c>
      <c r="E28" s="229" t="s">
        <v>157</v>
      </c>
      <c r="F28" s="437"/>
      <c r="G28" s="328">
        <v>4400</v>
      </c>
      <c r="H28" s="228">
        <v>1.43</v>
      </c>
      <c r="I28" s="229" t="s">
        <v>220</v>
      </c>
      <c r="J28" s="437">
        <v>3200</v>
      </c>
      <c r="K28" s="328">
        <v>4400</v>
      </c>
      <c r="L28" s="228">
        <v>1</v>
      </c>
      <c r="M28" s="228">
        <f>IF(('Outpatient Workload'!$D$9)&lt;G28, H28, (H28+L28*(('Outpatient Workload'!$D$9)-K28)/J28*L28))*(FAC_INFO_FAC_TYPE&lt;&gt;1)</f>
        <v>0</v>
      </c>
      <c r="N28" s="1040"/>
    </row>
    <row r="29" spans="1:14" ht="20.100000000000001" customHeight="1">
      <c r="A29" s="1324">
        <v>44</v>
      </c>
      <c r="B29" s="436"/>
      <c r="C29" s="183"/>
      <c r="D29" s="183" t="s">
        <v>265</v>
      </c>
      <c r="E29" s="229" t="s">
        <v>157</v>
      </c>
      <c r="F29" s="437"/>
      <c r="G29" s="328">
        <v>4400</v>
      </c>
      <c r="H29" s="229">
        <v>0.35</v>
      </c>
      <c r="I29" s="229" t="s">
        <v>220</v>
      </c>
      <c r="J29" s="437">
        <v>3200</v>
      </c>
      <c r="K29" s="328">
        <v>4400</v>
      </c>
      <c r="L29" s="228">
        <v>0.35</v>
      </c>
      <c r="M29" s="228">
        <f>IF(PCPV&lt;G29, 0, (H29+((PCPV-K29)/J29)*L29))</f>
        <v>0</v>
      </c>
      <c r="N29" s="1040"/>
    </row>
    <row r="30" spans="1:14" ht="20.100000000000001" customHeight="1">
      <c r="A30" s="1324">
        <v>401</v>
      </c>
      <c r="B30" s="436"/>
      <c r="C30" s="183"/>
      <c r="D30" s="183" t="s">
        <v>165</v>
      </c>
      <c r="E30" s="229" t="s">
        <v>157</v>
      </c>
      <c r="F30" s="437"/>
      <c r="G30" s="328">
        <v>4400</v>
      </c>
      <c r="H30" s="229">
        <v>0.33</v>
      </c>
      <c r="I30" s="229" t="s">
        <v>220</v>
      </c>
      <c r="J30" s="437">
        <v>3200</v>
      </c>
      <c r="K30" s="328">
        <v>4400</v>
      </c>
      <c r="L30" s="228">
        <v>0.33</v>
      </c>
      <c r="M30" s="228">
        <f>IF(PCPV&lt;G30, 0, (H30+((PCPV-K30)/J30)*L30))</f>
        <v>0</v>
      </c>
      <c r="N30" s="1040"/>
    </row>
    <row r="31" spans="1:14" ht="20.100000000000001" customHeight="1">
      <c r="A31" s="1324">
        <v>45</v>
      </c>
      <c r="B31" s="433"/>
      <c r="C31" s="183"/>
      <c r="D31" s="439" t="s">
        <v>266</v>
      </c>
      <c r="E31" s="440" t="s">
        <v>267</v>
      </c>
      <c r="F31" s="441">
        <v>1540</v>
      </c>
      <c r="G31" s="442"/>
      <c r="H31" s="443">
        <v>1</v>
      </c>
      <c r="I31" s="443"/>
      <c r="J31" s="443"/>
      <c r="K31" s="444"/>
      <c r="L31" s="444"/>
      <c r="M31" s="254">
        <f>'Outpatient Workload'!D42/F31*H31</f>
        <v>0</v>
      </c>
      <c r="N31" s="1040"/>
    </row>
    <row r="32" spans="1:14" ht="20.100000000000001" customHeight="1">
      <c r="A32" s="1324">
        <v>46</v>
      </c>
      <c r="B32" s="433"/>
      <c r="C32" s="183"/>
      <c r="D32" s="439" t="s">
        <v>268</v>
      </c>
      <c r="E32" s="440" t="s">
        <v>269</v>
      </c>
      <c r="F32" s="441"/>
      <c r="G32" s="442">
        <v>5</v>
      </c>
      <c r="H32" s="443">
        <v>4.9000000000000004</v>
      </c>
      <c r="I32" s="443" t="s">
        <v>269</v>
      </c>
      <c r="J32" s="443">
        <v>1</v>
      </c>
      <c r="K32" s="254">
        <v>5</v>
      </c>
      <c r="L32" s="254">
        <v>0.4</v>
      </c>
      <c r="M32" s="254">
        <f>IF('Outpatient Workload'!D43&lt;G32,0,H32+('Outpatient Workload'!D43-K32)/J32*L32)</f>
        <v>0</v>
      </c>
      <c r="N32" s="1040"/>
    </row>
    <row r="33" spans="1:15" ht="20.100000000000001" customHeight="1" thickBot="1">
      <c r="A33" s="1327"/>
      <c r="B33" s="446"/>
      <c r="C33" s="234"/>
      <c r="D33" s="447"/>
      <c r="E33" s="417"/>
      <c r="F33" s="417"/>
      <c r="G33" s="417"/>
      <c r="H33" s="417"/>
      <c r="I33" s="417"/>
      <c r="J33" s="417"/>
      <c r="K33" s="417"/>
      <c r="L33" s="417"/>
      <c r="M33" s="588">
        <f>SUM(M25:M32)</f>
        <v>0</v>
      </c>
      <c r="N33" s="402"/>
    </row>
    <row r="34" spans="1:15" ht="20.100000000000001" customHeight="1">
      <c r="A34" s="1324"/>
      <c r="B34" s="221"/>
      <c r="C34" s="408" t="s">
        <v>651</v>
      </c>
      <c r="D34" s="432"/>
      <c r="E34" s="419"/>
      <c r="F34" s="419"/>
      <c r="G34" s="419"/>
      <c r="H34" s="419"/>
      <c r="I34" s="419"/>
      <c r="J34" s="419"/>
      <c r="K34" s="419"/>
      <c r="L34" s="419"/>
      <c r="M34" s="419"/>
      <c r="N34" s="413"/>
      <c r="O34" s="415"/>
    </row>
    <row r="35" spans="1:15" ht="20.100000000000001" customHeight="1">
      <c r="A35" s="1324">
        <v>201</v>
      </c>
      <c r="B35" s="1050"/>
      <c r="C35" s="226"/>
      <c r="D35" s="268" t="s">
        <v>649</v>
      </c>
      <c r="E35" s="255" t="s">
        <v>657</v>
      </c>
      <c r="F35" s="434">
        <v>25500</v>
      </c>
      <c r="G35" s="435">
        <v>3000</v>
      </c>
      <c r="H35" s="254">
        <v>0.1</v>
      </c>
      <c r="I35" s="254" t="s">
        <v>657</v>
      </c>
      <c r="J35" s="254">
        <v>1</v>
      </c>
      <c r="K35" s="254">
        <v>2500</v>
      </c>
      <c r="L35" s="254">
        <v>0.1</v>
      </c>
      <c r="M35" s="254">
        <f>IF(ERLevel=1,0,IF('Outpatient Workload'!$D$38&gt;=F35,1,IF('Outpatient Workload'!$D$38&lt;G35,0,H35+((('Outpatient Workload'!$D$38-G35)/K35)*L35))))</f>
        <v>0</v>
      </c>
      <c r="N35" s="1040"/>
      <c r="O35" s="415"/>
    </row>
    <row r="36" spans="1:15" ht="20.100000000000001" customHeight="1">
      <c r="A36" s="1324">
        <v>32</v>
      </c>
      <c r="B36" s="1050"/>
      <c r="C36" s="226"/>
      <c r="D36" s="268" t="s">
        <v>650</v>
      </c>
      <c r="E36" s="255" t="s">
        <v>658</v>
      </c>
      <c r="F36" s="434"/>
      <c r="G36" s="435"/>
      <c r="H36" s="254">
        <v>1</v>
      </c>
      <c r="I36" s="254"/>
      <c r="J36" s="254"/>
      <c r="K36" s="254"/>
      <c r="L36" s="254"/>
      <c r="M36" s="254">
        <f>IF(ERLevel=1,0,H36)</f>
        <v>0</v>
      </c>
      <c r="N36" s="1040"/>
      <c r="O36" s="415"/>
    </row>
    <row r="37" spans="1:15" ht="20.100000000000001" customHeight="1">
      <c r="A37" s="1324">
        <v>202</v>
      </c>
      <c r="B37" s="1050"/>
      <c r="C37" s="226"/>
      <c r="D37" s="268" t="s">
        <v>652</v>
      </c>
      <c r="E37" s="255" t="s">
        <v>657</v>
      </c>
      <c r="F37" s="254">
        <v>9000</v>
      </c>
      <c r="G37" s="254">
        <v>1000</v>
      </c>
      <c r="H37" s="254">
        <v>1</v>
      </c>
      <c r="I37" s="254" t="s">
        <v>657</v>
      </c>
      <c r="J37" s="254"/>
      <c r="K37" s="254"/>
      <c r="L37" s="254">
        <v>8</v>
      </c>
      <c r="M37" s="254">
        <f>IF(ERLevel=1,0,IF('Outpatient Workload'!$D$38&lt;F37,L37,L37+((('Outpatient Workload'!$D$38-F37)/G37)*H37)))</f>
        <v>0</v>
      </c>
      <c r="N37" s="1040"/>
      <c r="O37" s="415"/>
    </row>
    <row r="38" spans="1:15" ht="20.100000000000001" customHeight="1">
      <c r="A38" s="1324">
        <v>33</v>
      </c>
      <c r="B38" s="1050"/>
      <c r="C38" s="226"/>
      <c r="D38" s="1059" t="s">
        <v>653</v>
      </c>
      <c r="E38" s="255" t="s">
        <v>657</v>
      </c>
      <c r="F38" s="254">
        <v>9000</v>
      </c>
      <c r="G38" s="254">
        <v>1000</v>
      </c>
      <c r="H38" s="254">
        <v>0.22</v>
      </c>
      <c r="I38" s="254" t="s">
        <v>657</v>
      </c>
      <c r="J38" s="254">
        <v>20364</v>
      </c>
      <c r="K38" s="254"/>
      <c r="L38" s="254">
        <v>2</v>
      </c>
      <c r="M38" s="254">
        <f>IF('Outpatient Workload'!D38&gt;'AMB-FTE'!J38,7,IF(ERLevel=1,0,IF('Outpatient Workload'!$D$38&lt;F38,L38,L38+((('Outpatient Workload'!$D$38-F38)/G38)*H38))))</f>
        <v>0</v>
      </c>
      <c r="N38" s="1040"/>
      <c r="O38" s="415"/>
    </row>
    <row r="39" spans="1:15" ht="20.100000000000001" customHeight="1">
      <c r="A39" s="1324">
        <v>203</v>
      </c>
      <c r="B39" s="1050"/>
      <c r="C39" s="226"/>
      <c r="D39" s="1059" t="s">
        <v>654</v>
      </c>
      <c r="E39" s="255" t="s">
        <v>657</v>
      </c>
      <c r="F39" s="254">
        <v>9000</v>
      </c>
      <c r="G39" s="254">
        <v>1000</v>
      </c>
      <c r="H39" s="254">
        <v>0.2</v>
      </c>
      <c r="I39" s="254" t="s">
        <v>657</v>
      </c>
      <c r="J39" s="254"/>
      <c r="K39" s="254"/>
      <c r="L39" s="254">
        <v>2</v>
      </c>
      <c r="M39" s="254">
        <f>IF(ERLevel=1,0,IF('Outpatient Workload'!$D$38&lt;F39,L39,L39+((('Outpatient Workload'!$D$38-F39)/G39)*H39)))</f>
        <v>0</v>
      </c>
      <c r="N39" s="1040"/>
      <c r="O39" s="415"/>
    </row>
    <row r="40" spans="1:15" ht="20.100000000000001" customHeight="1">
      <c r="A40" s="1324">
        <v>205</v>
      </c>
      <c r="B40" s="1050"/>
      <c r="C40" s="226"/>
      <c r="D40" s="182" t="s">
        <v>252</v>
      </c>
      <c r="E40" s="255" t="s">
        <v>657</v>
      </c>
      <c r="F40" s="254">
        <v>6300</v>
      </c>
      <c r="G40" s="254">
        <v>2100</v>
      </c>
      <c r="H40" s="254">
        <v>1</v>
      </c>
      <c r="I40" s="254" t="s">
        <v>657</v>
      </c>
      <c r="J40" s="254"/>
      <c r="K40" s="254"/>
      <c r="L40" s="254">
        <v>3</v>
      </c>
      <c r="M40" s="254">
        <f>IF(ERLevel=1,0,IF('Outpatient Workload'!$D$38&lt;F40,L40,L40+((('Outpatient Workload'!$D$38-F40)/G40)*H40)))</f>
        <v>0</v>
      </c>
      <c r="N40" s="1040"/>
      <c r="O40" s="415"/>
    </row>
    <row r="41" spans="1:15" s="384" customFormat="1" ht="20.100000000000001" customHeight="1" thickBot="1">
      <c r="A41" s="1328">
        <v>204</v>
      </c>
      <c r="B41" s="1060"/>
      <c r="C41" s="1061"/>
      <c r="D41" s="448" t="s">
        <v>655</v>
      </c>
      <c r="E41" s="1062" t="s">
        <v>657</v>
      </c>
      <c r="F41" s="1063">
        <v>9000</v>
      </c>
      <c r="G41" s="1063">
        <v>1500</v>
      </c>
      <c r="H41" s="1063">
        <v>0.1</v>
      </c>
      <c r="I41" s="1063" t="s">
        <v>657</v>
      </c>
      <c r="J41" s="1063">
        <v>16500</v>
      </c>
      <c r="K41" s="1063"/>
      <c r="L41" s="1063">
        <v>1.5</v>
      </c>
      <c r="M41" s="1063">
        <f>IF('Outpatient Workload'!$D$38&gt;'AMB-FTE'!J41,'AMB-FTE'!L41,IF(ERLevel=1,0,IF('Outpatient Workload'!$D$38&lt;F41,0,H41+((('Outpatient Workload'!$D$38-F41)/G41)*H41))))</f>
        <v>0</v>
      </c>
      <c r="N41" s="1040"/>
      <c r="O41" s="1064"/>
    </row>
    <row r="42" spans="1:15" ht="20.100000000000001" customHeight="1" thickBot="1">
      <c r="A42" s="1327"/>
      <c r="B42" s="446"/>
      <c r="C42" s="234"/>
      <c r="D42" s="447"/>
      <c r="E42" s="417"/>
      <c r="F42" s="417"/>
      <c r="G42" s="417"/>
      <c r="H42" s="417"/>
      <c r="I42" s="417"/>
      <c r="J42" s="417"/>
      <c r="K42" s="417"/>
      <c r="L42" s="417"/>
      <c r="M42" s="588">
        <f>SUM(M35:M41)</f>
        <v>0</v>
      </c>
      <c r="N42" s="402"/>
    </row>
    <row r="43" spans="1:15" ht="20.100000000000001" customHeight="1" thickBot="1">
      <c r="A43" s="1324"/>
      <c r="B43" s="322" t="s">
        <v>270</v>
      </c>
      <c r="C43" s="323"/>
      <c r="D43" s="323"/>
      <c r="E43" s="429"/>
      <c r="F43" s="429"/>
      <c r="G43" s="429"/>
      <c r="H43" s="429"/>
      <c r="I43" s="429"/>
      <c r="J43" s="429"/>
      <c r="K43" s="429"/>
      <c r="L43" s="429"/>
      <c r="M43" s="429"/>
      <c r="N43" s="430"/>
      <c r="O43" s="415"/>
    </row>
    <row r="44" spans="1:15" ht="20.100000000000001" customHeight="1">
      <c r="A44" s="1324"/>
      <c r="B44" s="221"/>
      <c r="C44" s="222" t="s">
        <v>271</v>
      </c>
      <c r="D44" s="432"/>
      <c r="E44" s="419"/>
      <c r="F44" s="419"/>
      <c r="G44" s="419"/>
      <c r="H44" s="419"/>
      <c r="I44" s="419"/>
      <c r="J44" s="419"/>
      <c r="K44" s="419"/>
      <c r="L44" s="419"/>
      <c r="M44" s="419"/>
      <c r="N44" s="413"/>
      <c r="O44" s="415"/>
    </row>
    <row r="45" spans="1:15" ht="20.100000000000001" customHeight="1">
      <c r="A45" s="1324">
        <v>47</v>
      </c>
      <c r="B45" s="436"/>
      <c r="C45" s="183"/>
      <c r="D45" s="183" t="s">
        <v>272</v>
      </c>
      <c r="E45" s="229" t="s">
        <v>157</v>
      </c>
      <c r="F45" s="437"/>
      <c r="G45" s="328">
        <v>4560</v>
      </c>
      <c r="H45" s="228">
        <v>1</v>
      </c>
      <c r="I45" s="228" t="s">
        <v>273</v>
      </c>
      <c r="J45" s="437">
        <v>5700</v>
      </c>
      <c r="K45" s="328">
        <v>4560</v>
      </c>
      <c r="L45" s="228">
        <v>1</v>
      </c>
      <c r="M45" s="228">
        <f>IF('Facility Info'!E26&lt;=G45,0,H45+L45*('Facility Info'!E26-K45)/J45)</f>
        <v>0</v>
      </c>
      <c r="N45" s="1040"/>
    </row>
    <row r="46" spans="1:15" s="415" customFormat="1" ht="20.100000000000001" customHeight="1">
      <c r="A46" s="1323">
        <v>48</v>
      </c>
      <c r="B46" s="199"/>
      <c r="C46" s="183"/>
      <c r="D46" s="449" t="s">
        <v>274</v>
      </c>
      <c r="E46" s="229" t="s">
        <v>157</v>
      </c>
      <c r="F46" s="437"/>
      <c r="G46" s="328">
        <v>4560</v>
      </c>
      <c r="H46" s="228">
        <v>1</v>
      </c>
      <c r="I46" s="228" t="s">
        <v>273</v>
      </c>
      <c r="J46" s="437">
        <v>7870</v>
      </c>
      <c r="K46" s="328">
        <v>4560</v>
      </c>
      <c r="L46" s="228">
        <v>1</v>
      </c>
      <c r="M46" s="228">
        <f>IF('Facility Info'!E26&lt;=G46,0,H46+L46*('Facility Info'!E26-K46)/J46)</f>
        <v>0</v>
      </c>
      <c r="N46" s="1040"/>
      <c r="O46" s="379"/>
    </row>
    <row r="47" spans="1:15" ht="20.100000000000001" customHeight="1">
      <c r="A47" s="1324">
        <v>49</v>
      </c>
      <c r="B47" s="199"/>
      <c r="C47" s="183"/>
      <c r="D47" s="183" t="s">
        <v>275</v>
      </c>
      <c r="E47" s="229" t="s">
        <v>157</v>
      </c>
      <c r="F47" s="437"/>
      <c r="G47" s="328">
        <v>4560</v>
      </c>
      <c r="H47" s="228">
        <v>1</v>
      </c>
      <c r="I47" s="228" t="s">
        <v>273</v>
      </c>
      <c r="J47" s="437">
        <v>7870</v>
      </c>
      <c r="K47" s="328">
        <v>4560</v>
      </c>
      <c r="L47" s="228">
        <v>1</v>
      </c>
      <c r="M47" s="228">
        <f>IF('Facility Info'!E26&lt;=G47,0,H47+L47*('Facility Info'!E26-K47)/J47)</f>
        <v>0</v>
      </c>
      <c r="N47" s="1040"/>
    </row>
    <row r="48" spans="1:15" ht="20.100000000000001" customHeight="1">
      <c r="A48" s="1324">
        <v>50</v>
      </c>
      <c r="B48" s="199"/>
      <c r="C48" s="183"/>
      <c r="D48" s="226" t="s">
        <v>276</v>
      </c>
      <c r="E48" s="228" t="s">
        <v>273</v>
      </c>
      <c r="F48" s="437">
        <v>25000</v>
      </c>
      <c r="G48" s="328">
        <v>25000</v>
      </c>
      <c r="H48" s="228">
        <v>1</v>
      </c>
      <c r="I48" s="228"/>
      <c r="J48" s="228"/>
      <c r="K48" s="228"/>
      <c r="L48" s="228"/>
      <c r="M48" s="228">
        <f>IF('Facility Info'!E26&lt;=G48,0,H48+('Facility Info'!E26-G48)/F48)</f>
        <v>0</v>
      </c>
      <c r="N48" s="1040"/>
    </row>
    <row r="49" spans="1:15" ht="20.100000000000001" customHeight="1">
      <c r="A49" s="1324">
        <v>51</v>
      </c>
      <c r="B49" s="199"/>
      <c r="C49" s="183"/>
      <c r="D49" s="226" t="s">
        <v>277</v>
      </c>
      <c r="E49" s="228" t="s">
        <v>273</v>
      </c>
      <c r="F49" s="437">
        <v>25000</v>
      </c>
      <c r="G49" s="328">
        <v>25000</v>
      </c>
      <c r="H49" s="228">
        <v>1</v>
      </c>
      <c r="I49" s="228"/>
      <c r="J49" s="228"/>
      <c r="K49" s="228"/>
      <c r="L49" s="228"/>
      <c r="M49" s="228">
        <f>IF('Facility Info'!E26&lt;=G49,0,H49+('Facility Info'!E26-G49)/F49)</f>
        <v>0</v>
      </c>
      <c r="N49" s="1040"/>
    </row>
    <row r="50" spans="1:15" ht="20.100000000000001" customHeight="1" thickBot="1">
      <c r="A50" s="1324"/>
      <c r="B50" s="232"/>
      <c r="C50" s="234"/>
      <c r="D50" s="233"/>
      <c r="E50" s="417"/>
      <c r="F50" s="417"/>
      <c r="G50" s="417"/>
      <c r="H50" s="417"/>
      <c r="I50" s="417"/>
      <c r="J50" s="417"/>
      <c r="K50" s="417"/>
      <c r="L50" s="417"/>
      <c r="M50" s="588">
        <f>SUM(M45:M49)</f>
        <v>0</v>
      </c>
      <c r="N50" s="402"/>
    </row>
    <row r="51" spans="1:15" ht="20.100000000000001" customHeight="1">
      <c r="A51" s="1324"/>
      <c r="B51" s="221"/>
      <c r="C51" s="408" t="s">
        <v>278</v>
      </c>
      <c r="D51" s="432"/>
      <c r="E51" s="419"/>
      <c r="F51" s="419"/>
      <c r="G51" s="419"/>
      <c r="H51" s="419"/>
      <c r="I51" s="419"/>
      <c r="J51" s="419"/>
      <c r="K51" s="419"/>
      <c r="L51" s="419"/>
      <c r="M51" s="419"/>
      <c r="N51" s="413"/>
      <c r="O51" s="415"/>
    </row>
    <row r="52" spans="1:15" ht="20.100000000000001" customHeight="1">
      <c r="A52" s="1324">
        <v>52</v>
      </c>
      <c r="B52" s="199"/>
      <c r="C52" s="226"/>
      <c r="D52" s="183" t="s">
        <v>279</v>
      </c>
      <c r="E52" s="228" t="s">
        <v>273</v>
      </c>
      <c r="F52" s="437"/>
      <c r="G52" s="328">
        <v>3400</v>
      </c>
      <c r="H52" s="228">
        <v>0.5</v>
      </c>
      <c r="I52" s="228" t="s">
        <v>273</v>
      </c>
      <c r="J52" s="437">
        <v>3400</v>
      </c>
      <c r="K52" s="328">
        <v>3400</v>
      </c>
      <c r="L52" s="228">
        <v>0.5</v>
      </c>
      <c r="M52" s="228">
        <f>IF('Facility Info'!E27&lt;G52,0,H52+('Facility Info'!E27-K52)/J52*L52)</f>
        <v>0</v>
      </c>
      <c r="N52" s="1040"/>
    </row>
    <row r="53" spans="1:15" ht="20.100000000000001" customHeight="1">
      <c r="A53" s="1324">
        <v>53</v>
      </c>
      <c r="B53" s="199"/>
      <c r="C53" s="226"/>
      <c r="D53" s="449" t="s">
        <v>280</v>
      </c>
      <c r="E53" s="228" t="s">
        <v>273</v>
      </c>
      <c r="F53" s="437">
        <v>6800</v>
      </c>
      <c r="G53" s="328">
        <v>6800</v>
      </c>
      <c r="H53" s="228">
        <v>0.5</v>
      </c>
      <c r="I53" s="228"/>
      <c r="J53" s="228"/>
      <c r="K53" s="228"/>
      <c r="L53" s="228"/>
      <c r="M53" s="228">
        <f>IF('Facility Info'!E27&lt;G53,0,('Facility Info'!E27-G53)/F53*H53)</f>
        <v>0</v>
      </c>
      <c r="N53" s="1040"/>
    </row>
    <row r="54" spans="1:15" ht="20.100000000000001" customHeight="1" thickBot="1">
      <c r="A54" s="1324"/>
      <c r="B54" s="232"/>
      <c r="C54" s="233"/>
      <c r="D54" s="452"/>
      <c r="E54" s="427"/>
      <c r="F54" s="428"/>
      <c r="G54" s="428"/>
      <c r="H54" s="429"/>
      <c r="I54" s="429"/>
      <c r="J54" s="429"/>
      <c r="K54" s="429"/>
      <c r="L54" s="429"/>
      <c r="M54" s="588">
        <f>SUM(M52:M53)</f>
        <v>0</v>
      </c>
      <c r="N54" s="402"/>
    </row>
    <row r="55" spans="1:15" s="415" customFormat="1" ht="20.100000000000001" customHeight="1">
      <c r="A55" s="1323"/>
      <c r="B55" s="453"/>
      <c r="C55" s="375" t="s">
        <v>281</v>
      </c>
      <c r="D55" s="454"/>
      <c r="E55" s="429"/>
      <c r="F55" s="429"/>
      <c r="G55" s="429"/>
      <c r="H55" s="429"/>
      <c r="I55" s="429"/>
      <c r="J55" s="429"/>
      <c r="K55" s="429"/>
      <c r="L55" s="429"/>
      <c r="M55" s="429"/>
      <c r="N55" s="430"/>
    </row>
    <row r="56" spans="1:15" s="415" customFormat="1" ht="20.100000000000001" customHeight="1">
      <c r="A56" s="1323">
        <v>302</v>
      </c>
      <c r="B56" s="455"/>
      <c r="C56" s="456"/>
      <c r="D56" s="1236" t="s">
        <v>622</v>
      </c>
      <c r="E56" s="258" t="s">
        <v>547</v>
      </c>
      <c r="F56" s="457">
        <v>1000</v>
      </c>
      <c r="G56" s="351"/>
      <c r="H56" s="259">
        <v>1</v>
      </c>
      <c r="I56" s="228" t="s">
        <v>181</v>
      </c>
      <c r="J56" s="259"/>
      <c r="K56" s="358"/>
      <c r="L56" s="259">
        <v>0.12</v>
      </c>
      <c r="M56" s="1039">
        <f>IF(AND((PTV+ADPL*L56)&gt;=F56,OR(HEALTHCENTER,HOSPITAL,ALTRURAL)),H56,0)</f>
        <v>0</v>
      </c>
      <c r="N56" s="1040"/>
    </row>
    <row r="57" spans="1:15" s="415" customFormat="1" ht="20.100000000000001" customHeight="1">
      <c r="A57" s="1323">
        <v>304</v>
      </c>
      <c r="B57" s="455"/>
      <c r="C57" s="456"/>
      <c r="D57" s="1236" t="s">
        <v>638</v>
      </c>
      <c r="E57" s="258" t="s">
        <v>547</v>
      </c>
      <c r="F57" s="457">
        <v>1790</v>
      </c>
      <c r="G57" s="351">
        <v>900</v>
      </c>
      <c r="H57" s="259">
        <v>1</v>
      </c>
      <c r="I57" s="228"/>
      <c r="J57" s="259"/>
      <c r="K57" s="358"/>
      <c r="L57" s="259">
        <v>0.12</v>
      </c>
      <c r="M57" s="1039">
        <f>IF(AND(((PTV+(ADPL*L57))&gt;=G57),OR(HEALTHCENTER,HOSPITAL,ALTRURAL)),H57*((PTV+ADPL*L57)-G57)/F57,0)</f>
        <v>0</v>
      </c>
      <c r="N57" s="1040"/>
    </row>
    <row r="58" spans="1:15" s="415" customFormat="1" ht="20.100000000000001" customHeight="1">
      <c r="A58" s="1324">
        <v>303</v>
      </c>
      <c r="B58" s="455"/>
      <c r="C58" s="456"/>
      <c r="D58" s="1236" t="s">
        <v>637</v>
      </c>
      <c r="E58" s="258" t="s">
        <v>547</v>
      </c>
      <c r="F58" s="457">
        <v>1790</v>
      </c>
      <c r="G58" s="351">
        <v>900</v>
      </c>
      <c r="H58" s="259">
        <v>0.36</v>
      </c>
      <c r="I58" s="258" t="s">
        <v>547</v>
      </c>
      <c r="J58" s="259"/>
      <c r="K58" s="259">
        <v>1000</v>
      </c>
      <c r="L58" s="259">
        <v>1</v>
      </c>
      <c r="M58" s="1039">
        <f>IF(AND(((PTV+(ADPL*L51))&gt;=K58),OR(HEALTHCENTER,HOSPITAL,ALTRURAL)),L58+H58*((PTV+ADPL*L51)-G58)/F58,0)</f>
        <v>0</v>
      </c>
      <c r="N58" s="1040"/>
    </row>
    <row r="59" spans="1:15" s="415" customFormat="1" ht="20.100000000000001" customHeight="1">
      <c r="A59" s="1329">
        <v>305</v>
      </c>
      <c r="B59" s="455"/>
      <c r="C59" s="456"/>
      <c r="D59" s="1236" t="s">
        <v>781</v>
      </c>
      <c r="E59" s="1268" t="s">
        <v>785</v>
      </c>
      <c r="F59" s="1269">
        <v>1790</v>
      </c>
      <c r="G59" s="1270">
        <v>1253</v>
      </c>
      <c r="H59" s="1271">
        <v>1</v>
      </c>
      <c r="I59" s="1272"/>
      <c r="J59" s="1271"/>
      <c r="K59" s="1273"/>
      <c r="L59" s="1271">
        <v>0.12</v>
      </c>
      <c r="M59" s="1274">
        <f>IF(AND(((OTV+(ADPL*L59))&gt;=G59),OR(HEALTHCENTER,HOSPITAL,ALTRURAL)),H59*((OTV+ADPL*L59)-G59)/F59,0)</f>
        <v>0</v>
      </c>
      <c r="N59" s="1040"/>
    </row>
    <row r="60" spans="1:15" s="415" customFormat="1" ht="20.100000000000001" customHeight="1">
      <c r="A60" s="1329">
        <v>306</v>
      </c>
      <c r="B60" s="455"/>
      <c r="C60" s="456"/>
      <c r="D60" s="1236" t="s">
        <v>782</v>
      </c>
      <c r="E60" s="1268" t="s">
        <v>785</v>
      </c>
      <c r="F60" s="1269">
        <v>1000</v>
      </c>
      <c r="G60" s="1270"/>
      <c r="H60" s="1271">
        <v>1</v>
      </c>
      <c r="I60" s="1272" t="s">
        <v>181</v>
      </c>
      <c r="J60" s="1271"/>
      <c r="K60" s="1273"/>
      <c r="L60" s="1271">
        <v>0.12</v>
      </c>
      <c r="M60" s="1274">
        <f>IF(AND((OTV+ADPL*L60)&gt;=F60,OR(HEALTHCENTER,HOSPITAL,ALTRURAL)),H60,0)</f>
        <v>0</v>
      </c>
      <c r="N60" s="1040"/>
    </row>
    <row r="61" spans="1:15" s="415" customFormat="1" ht="20.100000000000001" customHeight="1">
      <c r="A61" s="1329">
        <v>307</v>
      </c>
      <c r="B61" s="455"/>
      <c r="C61" s="456"/>
      <c r="D61" s="1236" t="s">
        <v>493</v>
      </c>
      <c r="E61" s="1268" t="s">
        <v>785</v>
      </c>
      <c r="F61" s="1269">
        <v>1790</v>
      </c>
      <c r="G61" s="1270">
        <v>1253</v>
      </c>
      <c r="H61" s="1271">
        <v>0.36</v>
      </c>
      <c r="I61" s="1272"/>
      <c r="J61" s="1271"/>
      <c r="K61" s="1273">
        <v>1000</v>
      </c>
      <c r="L61" s="1271">
        <v>1</v>
      </c>
      <c r="M61" s="1274">
        <f>IF(AND(((OTV+(ADPL*L60))&gt;=K61),OR(HEALTHCENTER,HOSPITAL,ALTRURAL)),L61+H61*((OTV+ADPL*L60)-G61)/F61,0)</f>
        <v>0</v>
      </c>
      <c r="N61" s="1040"/>
    </row>
    <row r="62" spans="1:15" s="415" customFormat="1" ht="20.100000000000001" customHeight="1">
      <c r="A62" s="1329">
        <v>308</v>
      </c>
      <c r="B62" s="455"/>
      <c r="C62" s="456"/>
      <c r="D62" s="1236" t="s">
        <v>783</v>
      </c>
      <c r="E62" s="1268" t="s">
        <v>786</v>
      </c>
      <c r="F62" s="1269">
        <v>1790</v>
      </c>
      <c r="G62" s="1270">
        <v>1253</v>
      </c>
      <c r="H62" s="1271">
        <v>1</v>
      </c>
      <c r="I62" s="1271"/>
      <c r="J62" s="1271"/>
      <c r="K62" s="1273"/>
      <c r="L62" s="1271">
        <v>0.12</v>
      </c>
      <c r="M62" s="1274">
        <f>IF(AND(((SLPV+(ADPL*L62))&gt;=G62),OR(HEALTHCENTER,HOSPITAL,ALTRURAL)),H62*((SLPV+ADPL*L62)-G62)/F62,0)</f>
        <v>0</v>
      </c>
      <c r="N62" s="1040"/>
    </row>
    <row r="63" spans="1:15" s="415" customFormat="1" ht="20.100000000000001" customHeight="1">
      <c r="A63" s="1329">
        <v>309</v>
      </c>
      <c r="B63" s="455"/>
      <c r="C63" s="456"/>
      <c r="D63" s="1236" t="s">
        <v>784</v>
      </c>
      <c r="E63" s="1268" t="s">
        <v>786</v>
      </c>
      <c r="F63" s="1269">
        <v>1253</v>
      </c>
      <c r="G63" s="1270"/>
      <c r="H63" s="1271">
        <v>1</v>
      </c>
      <c r="I63" s="1271" t="s">
        <v>181</v>
      </c>
      <c r="J63" s="1271"/>
      <c r="K63" s="1273"/>
      <c r="L63" s="1271">
        <v>0.12</v>
      </c>
      <c r="M63" s="1274">
        <f>IF(AND((SLPV+ADPL*L63)&gt;=F63,OR(HEALTHCENTER,HOSPITAL,ALTRURAL)),H63,0)</f>
        <v>0</v>
      </c>
      <c r="N63" s="1040"/>
    </row>
    <row r="64" spans="1:15" ht="20.100000000000001" customHeight="1">
      <c r="A64" s="1328">
        <v>301</v>
      </c>
      <c r="B64" s="455"/>
      <c r="C64" s="456"/>
      <c r="D64" s="1236" t="s">
        <v>780</v>
      </c>
      <c r="E64" s="1268" t="s">
        <v>787</v>
      </c>
      <c r="F64" s="1269">
        <v>1</v>
      </c>
      <c r="G64" s="1270"/>
      <c r="H64" s="1271">
        <v>1</v>
      </c>
      <c r="I64" s="1268"/>
      <c r="J64" s="1271"/>
      <c r="K64" s="1271"/>
      <c r="L64" s="1271"/>
      <c r="M64" s="1274">
        <f>F64 * (SUM(M56:M63)&gt;=1)</f>
        <v>0</v>
      </c>
      <c r="N64" s="1040"/>
    </row>
    <row r="65" spans="1:15" ht="20.100000000000001" customHeight="1" thickBot="1">
      <c r="A65" s="1324"/>
      <c r="B65" s="232"/>
      <c r="C65" s="233"/>
      <c r="D65" s="452"/>
      <c r="E65" s="427"/>
      <c r="F65" s="428"/>
      <c r="G65" s="428"/>
      <c r="H65" s="429"/>
      <c r="I65" s="429"/>
      <c r="J65" s="429"/>
      <c r="K65" s="429"/>
      <c r="L65" s="429"/>
      <c r="M65" s="588">
        <f>SUM(M56:M64)</f>
        <v>0</v>
      </c>
      <c r="N65" s="1041"/>
    </row>
    <row r="66" spans="1:15" s="415" customFormat="1" ht="20.100000000000001" customHeight="1">
      <c r="A66" s="1323"/>
      <c r="B66" s="453"/>
      <c r="C66" s="375" t="s">
        <v>500</v>
      </c>
      <c r="D66" s="454"/>
      <c r="E66" s="429"/>
      <c r="F66" s="429"/>
      <c r="G66" s="429"/>
      <c r="H66" s="429"/>
      <c r="I66" s="429"/>
      <c r="J66" s="429"/>
      <c r="K66" s="429"/>
      <c r="L66" s="429"/>
      <c r="M66" s="429"/>
      <c r="N66" s="430"/>
    </row>
    <row r="67" spans="1:15" ht="20.100000000000001" customHeight="1" thickBot="1">
      <c r="A67" s="1324">
        <v>179</v>
      </c>
      <c r="B67" s="455"/>
      <c r="C67" s="456"/>
      <c r="D67" s="287" t="s">
        <v>643</v>
      </c>
      <c r="E67" s="258" t="s">
        <v>220</v>
      </c>
      <c r="F67" s="457">
        <v>10000</v>
      </c>
      <c r="G67" s="351">
        <v>0</v>
      </c>
      <c r="H67" s="259">
        <v>0.3</v>
      </c>
      <c r="I67" s="228"/>
      <c r="J67" s="259"/>
      <c r="K67" s="358"/>
      <c r="L67" s="259"/>
      <c r="M67" s="589">
        <f>IF(M50+M54=0,0,PCPV/F67*H67)</f>
        <v>0</v>
      </c>
      <c r="N67" s="430"/>
    </row>
    <row r="68" spans="1:15" ht="20.100000000000001" customHeight="1">
      <c r="A68" s="1324"/>
      <c r="B68" s="418"/>
      <c r="C68" s="408" t="s">
        <v>282</v>
      </c>
      <c r="D68" s="432"/>
      <c r="E68" s="419"/>
      <c r="F68" s="419"/>
      <c r="G68" s="419"/>
      <c r="H68" s="419"/>
      <c r="I68" s="419"/>
      <c r="J68" s="419"/>
      <c r="K68" s="419"/>
      <c r="L68" s="419"/>
      <c r="M68" s="419"/>
      <c r="N68" s="413"/>
      <c r="O68" s="415"/>
    </row>
    <row r="69" spans="1:15" ht="20.100000000000001" customHeight="1">
      <c r="A69" s="1324">
        <v>55</v>
      </c>
      <c r="B69" s="433"/>
      <c r="C69" s="226"/>
      <c r="D69" s="1236" t="s">
        <v>283</v>
      </c>
      <c r="E69" s="1258" t="s">
        <v>273</v>
      </c>
      <c r="F69" s="1259">
        <v>800</v>
      </c>
      <c r="G69" s="1260">
        <v>800</v>
      </c>
      <c r="H69" s="1258">
        <v>1</v>
      </c>
      <c r="I69" s="1258" t="s">
        <v>273</v>
      </c>
      <c r="J69" s="1259">
        <v>1200</v>
      </c>
      <c r="K69" s="1260"/>
      <c r="L69" s="1258">
        <v>1</v>
      </c>
      <c r="M69" s="1258">
        <f>IF(DHAT=1,IF(FAC_INFO_Dental&lt;G69,0,H69+L69*INT((FAC_INFO_Dental-F69)/J69)),"")</f>
        <v>0</v>
      </c>
      <c r="N69" s="1040"/>
    </row>
    <row r="70" spans="1:15" ht="20.100000000000001" customHeight="1">
      <c r="A70" s="1324"/>
      <c r="B70" s="433"/>
      <c r="C70" s="226"/>
      <c r="D70" s="1261"/>
      <c r="E70" s="1262" t="s">
        <v>273</v>
      </c>
      <c r="F70" s="1263">
        <v>800</v>
      </c>
      <c r="G70" s="1264">
        <v>800</v>
      </c>
      <c r="H70" s="1262">
        <v>0.25</v>
      </c>
      <c r="I70" s="1262" t="s">
        <v>273</v>
      </c>
      <c r="J70" s="1263">
        <v>1200</v>
      </c>
      <c r="K70" s="1264"/>
      <c r="L70" s="1262">
        <v>0.25</v>
      </c>
      <c r="M70" s="1262" t="str">
        <f>IF(DHAT=2,IF(FAC_INFO_Dental&lt;G70,0,H70+L70*INT((FAC_INFO_Dental-F70)/J70)),"")</f>
        <v/>
      </c>
      <c r="N70" s="1040"/>
    </row>
    <row r="71" spans="1:15" ht="20.100000000000001" customHeight="1">
      <c r="A71" s="1324"/>
      <c r="B71" s="433"/>
      <c r="C71" s="226"/>
      <c r="D71" s="1052"/>
      <c r="E71" s="1057" t="s">
        <v>273</v>
      </c>
      <c r="F71" s="1265">
        <v>2000</v>
      </c>
      <c r="G71" s="1054">
        <v>2000</v>
      </c>
      <c r="H71" s="1057">
        <v>1.75</v>
      </c>
      <c r="I71" s="1057" t="s">
        <v>273</v>
      </c>
      <c r="J71" s="1265">
        <v>1200</v>
      </c>
      <c r="K71" s="1054"/>
      <c r="L71" s="1057">
        <v>0.75</v>
      </c>
      <c r="M71" s="1262" t="str">
        <f>IF(DHAT=3,IF(FAC_INFO_Dental&lt;G71,0,H71+L71*INT((FAC_INFO_Dental-F71)/J71)),"")</f>
        <v/>
      </c>
      <c r="N71" s="1040"/>
    </row>
    <row r="72" spans="1:15" ht="20.100000000000001" customHeight="1">
      <c r="A72" s="1324">
        <v>54</v>
      </c>
      <c r="B72" s="433"/>
      <c r="C72" s="226"/>
      <c r="D72" s="1236" t="s">
        <v>808</v>
      </c>
      <c r="E72" s="1258" t="s">
        <v>273</v>
      </c>
      <c r="F72" s="1259">
        <v>800</v>
      </c>
      <c r="G72" s="1260">
        <v>800</v>
      </c>
      <c r="H72" s="1258">
        <v>0.75</v>
      </c>
      <c r="I72" s="1258" t="s">
        <v>273</v>
      </c>
      <c r="J72" s="1259">
        <v>1200</v>
      </c>
      <c r="K72" s="1260"/>
      <c r="L72" s="1258">
        <v>0.75</v>
      </c>
      <c r="M72" s="1258" t="str">
        <f>IF(DHAT=2,IF(FAC_INFO_Dental&lt;G72,0,H72+L72*INT((FAC_INFO_Dental-F72)/J72)),"")</f>
        <v/>
      </c>
      <c r="N72" s="1040"/>
    </row>
    <row r="73" spans="1:15" ht="20.100000000000001" customHeight="1">
      <c r="A73" s="1324"/>
      <c r="B73" s="433"/>
      <c r="C73" s="226"/>
      <c r="D73" s="1052"/>
      <c r="E73" s="1057" t="s">
        <v>273</v>
      </c>
      <c r="F73" s="1265">
        <v>2000</v>
      </c>
      <c r="G73" s="1054">
        <v>2000</v>
      </c>
      <c r="H73" s="1057">
        <v>0.25</v>
      </c>
      <c r="I73" s="1057" t="s">
        <v>273</v>
      </c>
      <c r="J73" s="1265">
        <v>1200</v>
      </c>
      <c r="K73" s="1054"/>
      <c r="L73" s="1057">
        <v>0.25</v>
      </c>
      <c r="M73" s="1057" t="str">
        <f>IF(DHAT=3,IF(FAC_INFO_Dental&lt;G73,0,H73+L73*INT((FAC_INFO_Dental-F73)/J73)),"")</f>
        <v/>
      </c>
      <c r="N73" s="1040"/>
    </row>
    <row r="74" spans="1:15" ht="20.100000000000001" customHeight="1">
      <c r="A74" s="1324">
        <v>57</v>
      </c>
      <c r="B74" s="433"/>
      <c r="C74" s="226"/>
      <c r="D74" s="182" t="s">
        <v>285</v>
      </c>
      <c r="E74" s="181" t="s">
        <v>273</v>
      </c>
      <c r="F74" s="1266">
        <v>800</v>
      </c>
      <c r="G74" s="1267">
        <v>800</v>
      </c>
      <c r="H74" s="181">
        <v>0.5</v>
      </c>
      <c r="I74" s="181" t="s">
        <v>273</v>
      </c>
      <c r="J74" s="1266">
        <v>1200</v>
      </c>
      <c r="K74" s="1267">
        <v>1200</v>
      </c>
      <c r="L74" s="181">
        <v>0.5</v>
      </c>
      <c r="M74" s="181">
        <f>IF(FAC_INFO_Dental&lt;G74,0,H74+L74*INT((FAC_INFO_Dental-F74)/J74))</f>
        <v>0</v>
      </c>
      <c r="N74" s="1040"/>
    </row>
    <row r="75" spans="1:15" ht="20.100000000000001" customHeight="1">
      <c r="A75" s="1324">
        <v>550</v>
      </c>
      <c r="B75" s="433"/>
      <c r="C75" s="226"/>
      <c r="D75" s="182" t="s">
        <v>809</v>
      </c>
      <c r="E75" s="181" t="s">
        <v>810</v>
      </c>
      <c r="F75" s="1266"/>
      <c r="G75" s="1267"/>
      <c r="H75" s="181"/>
      <c r="I75" s="181"/>
      <c r="J75" s="1266"/>
      <c r="K75" s="1267">
        <v>5</v>
      </c>
      <c r="L75" s="181">
        <v>1</v>
      </c>
      <c r="M75" s="181">
        <f>L75*INT(SUM(M69:M74)/K75)</f>
        <v>0</v>
      </c>
      <c r="N75" s="1040"/>
    </row>
    <row r="76" spans="1:15" ht="20.100000000000001" customHeight="1">
      <c r="A76" s="1324">
        <v>56</v>
      </c>
      <c r="B76" s="199"/>
      <c r="C76" s="226"/>
      <c r="D76" s="182" t="s">
        <v>284</v>
      </c>
      <c r="E76" s="181" t="s">
        <v>273</v>
      </c>
      <c r="F76" s="1266">
        <v>800</v>
      </c>
      <c r="G76" s="1267">
        <v>800</v>
      </c>
      <c r="H76" s="181">
        <v>2</v>
      </c>
      <c r="I76" s="181" t="s">
        <v>273</v>
      </c>
      <c r="J76" s="1266">
        <v>1200</v>
      </c>
      <c r="K76" s="1267">
        <v>1200</v>
      </c>
      <c r="L76" s="181">
        <v>2</v>
      </c>
      <c r="M76" s="181">
        <f>IF(FAC_INFO_Dental&lt;G76,0,H76+L76*INT((FAC_INFO_Dental-F76)/J76))</f>
        <v>0</v>
      </c>
      <c r="N76" s="1040"/>
    </row>
    <row r="77" spans="1:15" ht="20.100000000000001" customHeight="1">
      <c r="A77" s="1324">
        <v>551</v>
      </c>
      <c r="B77" s="433"/>
      <c r="C77" s="226"/>
      <c r="D77" s="182" t="s">
        <v>811</v>
      </c>
      <c r="E77" s="181" t="s">
        <v>812</v>
      </c>
      <c r="F77" s="1266"/>
      <c r="G77" s="1267"/>
      <c r="H77" s="181"/>
      <c r="I77" s="181"/>
      <c r="J77" s="1266"/>
      <c r="K77" s="1267">
        <v>6</v>
      </c>
      <c r="L77" s="181">
        <v>1</v>
      </c>
      <c r="M77" s="181">
        <f>L77*INT(M76/K77)</f>
        <v>0</v>
      </c>
      <c r="N77" s="1040"/>
    </row>
    <row r="78" spans="1:15" ht="20.100000000000001" customHeight="1">
      <c r="A78" s="1324">
        <v>58</v>
      </c>
      <c r="B78" s="199"/>
      <c r="C78" s="226"/>
      <c r="D78" s="182" t="s">
        <v>165</v>
      </c>
      <c r="E78" s="181" t="s">
        <v>273</v>
      </c>
      <c r="F78" s="1266">
        <v>800</v>
      </c>
      <c r="G78" s="1267">
        <v>800</v>
      </c>
      <c r="H78" s="181">
        <v>0.5</v>
      </c>
      <c r="I78" s="181" t="s">
        <v>273</v>
      </c>
      <c r="J78" s="1267">
        <v>1200</v>
      </c>
      <c r="K78" s="1267">
        <v>1200</v>
      </c>
      <c r="L78" s="181">
        <v>0.5</v>
      </c>
      <c r="M78" s="181">
        <f>IF(FAC_INFO_Dental&lt;G78,0,H78+L78*INT((FAC_INFO_Dental-F78)/J78))</f>
        <v>0</v>
      </c>
      <c r="N78" s="1040"/>
    </row>
    <row r="79" spans="1:15" ht="20.100000000000001" customHeight="1" thickBot="1">
      <c r="A79" s="1324"/>
      <c r="B79" s="232"/>
      <c r="C79" s="234"/>
      <c r="D79" s="234"/>
      <c r="E79" s="417"/>
      <c r="F79" s="417"/>
      <c r="G79" s="417"/>
      <c r="H79" s="417"/>
      <c r="I79" s="417"/>
      <c r="J79" s="417"/>
      <c r="K79" s="417"/>
      <c r="L79" s="417"/>
      <c r="M79" s="588">
        <f>SUM(M69:M78)</f>
        <v>0</v>
      </c>
      <c r="N79" s="402"/>
    </row>
    <row r="80" spans="1:15" ht="20.100000000000001" customHeight="1">
      <c r="A80" s="1324"/>
      <c r="B80" s="418"/>
      <c r="C80" s="431" t="s">
        <v>707</v>
      </c>
      <c r="D80" s="432"/>
      <c r="E80" s="419"/>
      <c r="F80" s="419"/>
      <c r="G80" s="419"/>
      <c r="H80" s="419"/>
      <c r="I80" s="419"/>
      <c r="J80" s="419"/>
      <c r="K80" s="419"/>
      <c r="L80" s="419"/>
      <c r="M80" s="419"/>
      <c r="N80" s="413"/>
      <c r="O80" s="415"/>
    </row>
    <row r="81" spans="1:14" ht="20.100000000000001" customHeight="1">
      <c r="A81" s="1324">
        <v>293</v>
      </c>
      <c r="B81" s="433"/>
      <c r="C81" s="226"/>
      <c r="D81" s="183" t="s">
        <v>708</v>
      </c>
      <c r="E81" s="451" t="s">
        <v>822</v>
      </c>
      <c r="F81" s="437">
        <v>2167</v>
      </c>
      <c r="G81" s="328">
        <v>4645</v>
      </c>
      <c r="H81" s="228">
        <v>1</v>
      </c>
      <c r="I81" s="451" t="s">
        <v>822</v>
      </c>
      <c r="J81" s="437">
        <v>7741</v>
      </c>
      <c r="K81" s="328">
        <v>3095</v>
      </c>
      <c r="L81" s="228">
        <v>1</v>
      </c>
      <c r="M81" s="228">
        <f>(POPV&gt;=F81)+(POPV&gt;=G81)+(INT((POPV-G81)/K81)*(POPV&gt;=J81))</f>
        <v>0</v>
      </c>
      <c r="N81" s="1040"/>
    </row>
    <row r="82" spans="1:14" ht="20.100000000000001" customHeight="1">
      <c r="A82" s="1324">
        <v>290</v>
      </c>
      <c r="B82" s="199"/>
      <c r="C82" s="226"/>
      <c r="D82" s="183" t="s">
        <v>709</v>
      </c>
      <c r="E82" s="451" t="s">
        <v>712</v>
      </c>
      <c r="F82" s="437"/>
      <c r="G82" s="328"/>
      <c r="H82" s="228"/>
      <c r="I82" s="451" t="s">
        <v>712</v>
      </c>
      <c r="J82" s="437"/>
      <c r="K82" s="328"/>
      <c r="L82" s="228">
        <v>1</v>
      </c>
      <c r="M82" s="228">
        <f>M81*L82</f>
        <v>0</v>
      </c>
      <c r="N82" s="1040"/>
    </row>
    <row r="83" spans="1:14" ht="20.100000000000001" customHeight="1">
      <c r="A83" s="1324">
        <v>291</v>
      </c>
      <c r="B83" s="433"/>
      <c r="C83" s="226"/>
      <c r="D83" s="183" t="s">
        <v>710</v>
      </c>
      <c r="E83" s="451" t="s">
        <v>822</v>
      </c>
      <c r="F83" s="437">
        <v>4655</v>
      </c>
      <c r="G83" s="328">
        <v>13934</v>
      </c>
      <c r="H83" s="228">
        <v>0.25</v>
      </c>
      <c r="I83" s="451" t="s">
        <v>822</v>
      </c>
      <c r="J83" s="437"/>
      <c r="K83" s="328"/>
      <c r="L83" s="228"/>
      <c r="M83" s="228">
        <f>(POPV&gt;F83)+(POPV&gt;G83)</f>
        <v>0</v>
      </c>
      <c r="N83" s="1040"/>
    </row>
    <row r="84" spans="1:14" ht="20.100000000000001" customHeight="1">
      <c r="A84" s="1324">
        <v>289</v>
      </c>
      <c r="B84" s="199"/>
      <c r="C84" s="226"/>
      <c r="D84" s="183" t="s">
        <v>165</v>
      </c>
      <c r="E84" s="451" t="s">
        <v>712</v>
      </c>
      <c r="F84" s="437"/>
      <c r="G84" s="328">
        <v>2</v>
      </c>
      <c r="H84" s="228">
        <v>5</v>
      </c>
      <c r="I84" s="451" t="s">
        <v>712</v>
      </c>
      <c r="J84" s="437"/>
      <c r="K84" s="328">
        <v>2</v>
      </c>
      <c r="L84" s="228">
        <v>4</v>
      </c>
      <c r="M84" s="228">
        <f>((M81/G84)*(M81&lt;H84))+(ROUNDDOWN(M81/K84,0)*(M81&gt;L84))</f>
        <v>0</v>
      </c>
      <c r="N84" s="1040"/>
    </row>
    <row r="85" spans="1:14" ht="20.100000000000001" customHeight="1">
      <c r="A85" s="1324">
        <v>292</v>
      </c>
      <c r="B85" s="199"/>
      <c r="C85" s="226"/>
      <c r="D85" s="183" t="s">
        <v>711</v>
      </c>
      <c r="E85" s="451" t="s">
        <v>712</v>
      </c>
      <c r="F85" s="437"/>
      <c r="G85" s="359">
        <v>0.5</v>
      </c>
      <c r="H85" s="228">
        <v>2</v>
      </c>
      <c r="I85" s="451" t="s">
        <v>712</v>
      </c>
      <c r="J85" s="437"/>
      <c r="K85" s="359">
        <v>0.5</v>
      </c>
      <c r="L85" s="228">
        <v>4</v>
      </c>
      <c r="M85" s="228">
        <f>G85*(M81&gt;=H85)+K85*(M81&gt;=L85)</f>
        <v>0</v>
      </c>
      <c r="N85" s="1040"/>
    </row>
    <row r="86" spans="1:14" ht="20.100000000000001" customHeight="1" thickBot="1">
      <c r="A86" s="1324"/>
      <c r="B86" s="232"/>
      <c r="C86" s="234"/>
      <c r="D86" s="234"/>
      <c r="E86" s="417"/>
      <c r="F86" s="417"/>
      <c r="G86" s="417"/>
      <c r="H86" s="417"/>
      <c r="I86" s="417"/>
      <c r="J86" s="417"/>
      <c r="K86" s="417"/>
      <c r="L86" s="417"/>
      <c r="M86" s="588">
        <f>SUM(M81:M85)</f>
        <v>0</v>
      </c>
      <c r="N86" s="402"/>
    </row>
    <row r="87" spans="1:14" ht="20.100000000000001" customHeight="1">
      <c r="A87" s="1324"/>
      <c r="B87" s="291" t="s">
        <v>716</v>
      </c>
      <c r="C87" s="177"/>
      <c r="D87" s="177"/>
      <c r="E87" s="419"/>
      <c r="F87" s="419"/>
      <c r="G87" s="419"/>
      <c r="H87" s="419"/>
      <c r="I87" s="419"/>
      <c r="J87" s="419"/>
      <c r="K87" s="419"/>
      <c r="L87" s="419"/>
      <c r="M87" s="419"/>
      <c r="N87" s="413"/>
    </row>
    <row r="88" spans="1:14" ht="20.100000000000001" customHeight="1">
      <c r="A88" s="1324"/>
      <c r="B88" s="199"/>
      <c r="C88" s="229"/>
      <c r="D88" s="295" t="s">
        <v>1014</v>
      </c>
      <c r="E88" s="1777"/>
      <c r="F88" s="1588"/>
      <c r="G88" s="1588"/>
      <c r="H88" s="1777"/>
      <c r="I88" s="1777"/>
      <c r="J88" s="1777"/>
      <c r="K88" s="1777"/>
      <c r="L88" s="1777"/>
      <c r="M88" s="304">
        <v>0</v>
      </c>
      <c r="N88" s="1040"/>
    </row>
    <row r="89" spans="1:14" ht="20.100000000000001" customHeight="1">
      <c r="A89" s="1324"/>
      <c r="B89" s="199"/>
      <c r="C89" s="183"/>
      <c r="D89" s="295" t="s">
        <v>717</v>
      </c>
      <c r="E89" s="1777"/>
      <c r="F89" s="1588"/>
      <c r="G89" s="1588"/>
      <c r="H89" s="1777"/>
      <c r="I89" s="1777"/>
      <c r="J89" s="1777"/>
      <c r="K89" s="1777"/>
      <c r="L89" s="1777"/>
      <c r="M89" s="304">
        <v>0</v>
      </c>
      <c r="N89" s="1040"/>
    </row>
    <row r="90" spans="1:14" ht="20.100000000000001" customHeight="1">
      <c r="A90" s="1324"/>
      <c r="B90" s="199"/>
      <c r="C90" s="183"/>
      <c r="D90" s="295" t="s">
        <v>718</v>
      </c>
      <c r="E90" s="1777"/>
      <c r="F90" s="1588"/>
      <c r="G90" s="1588"/>
      <c r="H90" s="1777"/>
      <c r="I90" s="1777"/>
      <c r="J90" s="1777"/>
      <c r="K90" s="1777"/>
      <c r="L90" s="1777"/>
      <c r="M90" s="304">
        <v>0</v>
      </c>
      <c r="N90" s="1040"/>
    </row>
    <row r="91" spans="1:14" ht="20.100000000000001" customHeight="1">
      <c r="A91" s="1324"/>
      <c r="B91" s="199"/>
      <c r="C91" s="183"/>
      <c r="D91" s="295" t="s">
        <v>719</v>
      </c>
      <c r="E91" s="1777"/>
      <c r="F91" s="1588"/>
      <c r="G91" s="1588"/>
      <c r="H91" s="1777"/>
      <c r="I91" s="1777"/>
      <c r="J91" s="1777"/>
      <c r="K91" s="1777"/>
      <c r="L91" s="1777"/>
      <c r="M91" s="304">
        <v>0</v>
      </c>
      <c r="N91" s="1040"/>
    </row>
    <row r="92" spans="1:14" ht="20.100000000000001" customHeight="1">
      <c r="A92" s="1324"/>
      <c r="B92" s="199"/>
      <c r="C92" s="183"/>
      <c r="D92" s="295" t="s">
        <v>720</v>
      </c>
      <c r="E92" s="1777"/>
      <c r="F92" s="1588"/>
      <c r="G92" s="1588"/>
      <c r="H92" s="1777"/>
      <c r="I92" s="1777"/>
      <c r="J92" s="1777"/>
      <c r="K92" s="1777"/>
      <c r="L92" s="1777"/>
      <c r="M92" s="304">
        <v>0</v>
      </c>
      <c r="N92" s="1040"/>
    </row>
    <row r="93" spans="1:14" ht="20.100000000000001" customHeight="1">
      <c r="A93" s="1324"/>
      <c r="B93" s="199"/>
      <c r="C93" s="183"/>
      <c r="D93" s="295" t="s">
        <v>721</v>
      </c>
      <c r="E93" s="1777"/>
      <c r="F93" s="1588"/>
      <c r="G93" s="1588"/>
      <c r="H93" s="1777"/>
      <c r="I93" s="1777"/>
      <c r="J93" s="1777"/>
      <c r="K93" s="1777"/>
      <c r="L93" s="1777"/>
      <c r="M93" s="304">
        <v>0</v>
      </c>
      <c r="N93" s="1040"/>
    </row>
    <row r="94" spans="1:14" ht="20.100000000000001" customHeight="1" thickBot="1">
      <c r="A94" s="1324"/>
      <c r="B94" s="232"/>
      <c r="C94" s="234"/>
      <c r="D94" s="234"/>
      <c r="E94" s="417"/>
      <c r="F94" s="417"/>
      <c r="G94" s="417"/>
      <c r="H94" s="417"/>
      <c r="I94" s="417"/>
      <c r="J94" s="417"/>
      <c r="K94" s="417"/>
      <c r="L94" s="417"/>
      <c r="M94" s="588">
        <f>SUM(M88:M93)</f>
        <v>0</v>
      </c>
      <c r="N94" s="402"/>
    </row>
    <row r="95" spans="1:14" ht="20.100000000000001" customHeight="1" thickBot="1">
      <c r="B95" s="459"/>
      <c r="C95" s="460"/>
      <c r="D95" s="460"/>
      <c r="E95" s="461"/>
      <c r="F95" s="462"/>
      <c r="G95" s="462"/>
      <c r="H95" s="460"/>
      <c r="I95" s="460"/>
      <c r="J95" s="462"/>
      <c r="K95" s="463" t="s">
        <v>286</v>
      </c>
      <c r="L95" s="460"/>
      <c r="M95" s="590">
        <f>M16+M20+M23+M33+M42+M50+M54+M65+M67+M79+M94</f>
        <v>0</v>
      </c>
      <c r="N95" s="464"/>
    </row>
    <row r="96" spans="1:14">
      <c r="B96" s="1929"/>
      <c r="C96" s="1929"/>
      <c r="D96" s="1929"/>
      <c r="E96" s="1929"/>
      <c r="F96" s="1929"/>
      <c r="G96" s="1929"/>
      <c r="H96" s="1929"/>
      <c r="I96" s="1929"/>
      <c r="J96" s="1929"/>
      <c r="K96" s="1929"/>
      <c r="L96" s="1929"/>
      <c r="M96" s="1929"/>
      <c r="N96" s="1929"/>
    </row>
    <row r="97" spans="2:14">
      <c r="B97" s="1929"/>
      <c r="C97" s="1929"/>
      <c r="D97" s="1929"/>
      <c r="E97" s="1929"/>
      <c r="F97" s="1929"/>
      <c r="G97" s="1929"/>
      <c r="H97" s="1929"/>
      <c r="I97" s="1929"/>
      <c r="J97" s="1929"/>
      <c r="K97" s="1929"/>
      <c r="L97" s="1929"/>
      <c r="M97" s="1929"/>
      <c r="N97" s="1929"/>
    </row>
    <row r="98" spans="2:14">
      <c r="B98" s="1929"/>
      <c r="C98" s="1929"/>
      <c r="D98" s="1929"/>
      <c r="E98" s="1929"/>
      <c r="F98" s="1929"/>
      <c r="G98" s="1929"/>
      <c r="H98" s="1929"/>
      <c r="I98" s="1929"/>
      <c r="J98" s="1929"/>
      <c r="K98" s="1929"/>
      <c r="L98" s="1929"/>
      <c r="M98" s="1929"/>
      <c r="N98" s="1929"/>
    </row>
    <row r="99" spans="2:14">
      <c r="B99" s="1929"/>
      <c r="C99" s="1929"/>
      <c r="D99" s="1929"/>
      <c r="E99" s="1929"/>
      <c r="F99" s="1929"/>
      <c r="G99" s="1929"/>
      <c r="H99" s="1929"/>
      <c r="I99" s="1929"/>
      <c r="J99" s="1929"/>
      <c r="K99" s="1929"/>
      <c r="L99" s="1929"/>
      <c r="M99" s="1929"/>
      <c r="N99" s="1929"/>
    </row>
    <row r="100" spans="2:14"/>
    <row r="101" spans="2:14"/>
    <row r="102" spans="2:14"/>
    <row r="103" spans="2:14"/>
    <row r="104" spans="2:14"/>
  </sheetData>
  <sheetProtection algorithmName="SHA-512" hashValue="pRLZkzpITbDFo+tGhIjYMcx50EeCzLZuLbB9hu79xuV0M2Jp6XOoV/UFkmiy5FL/AXxvCA+Cu3SyqOAdeyhErw==" saltValue="LZN/OF5KOOx0KiFCCQc/kA==" spinCount="100000" sheet="1" objects="1" scenarios="1"/>
  <customSheetViews>
    <customSheetView guid="{82538F0F-5202-4835-8386-243FA62C9FC1}" scale="70" fitToPage="1" topLeftCell="C1">
      <selection activeCell="D4" sqref="D4"/>
      <rowBreaks count="1" manualBreakCount="1">
        <brk id="52" min="1" max="14" man="1"/>
      </rowBreaks>
      <pageMargins left="0.75" right="0.75" top="0.75" bottom="0.75" header="0.5" footer="0.5"/>
      <pageSetup scale="48" fitToHeight="0" orientation="landscape" horizontalDpi="300" verticalDpi="98" r:id="rId1"/>
      <headerFooter alignWithMargins="0"/>
    </customSheetView>
  </customSheetViews>
  <mergeCells count="3">
    <mergeCell ref="B96:N99"/>
    <mergeCell ref="E1:J1"/>
    <mergeCell ref="E3:J3"/>
  </mergeCells>
  <phoneticPr fontId="0" type="noConversion"/>
  <pageMargins left="0.75" right="0.75" top="0.75" bottom="0.75" header="0.5" footer="0.5"/>
  <pageSetup scale="48" fitToHeight="0" orientation="landscape" horizontalDpi="300" verticalDpi="98" r:id="rId2"/>
  <headerFooter alignWithMargins="0"/>
  <rowBreaks count="1" manualBreakCount="1">
    <brk id="50"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1:BK202"/>
  <sheetViews>
    <sheetView topLeftCell="B1" zoomScale="70" zoomScaleNormal="70" zoomScaleSheetLayoutView="70" workbookViewId="0">
      <selection activeCell="B33" sqref="B33"/>
    </sheetView>
  </sheetViews>
  <sheetFormatPr defaultColWidth="0" defaultRowHeight="20.25" zeroHeight="1"/>
  <cols>
    <col min="1" max="1" width="6.25" style="379" hidden="1" customWidth="1" collapsed="1"/>
    <col min="2" max="2" width="3.75" style="378" customWidth="1" collapsed="1"/>
    <col min="3" max="3" width="10" style="379" customWidth="1" collapsed="1"/>
    <col min="4" max="4" width="47.5" style="379" customWidth="1" collapsed="1"/>
    <col min="5" max="5" width="22.5" style="380" customWidth="1" collapsed="1"/>
    <col min="6" max="7" width="15" style="380" customWidth="1" collapsed="1"/>
    <col min="8" max="8" width="15" style="381" customWidth="1" collapsed="1"/>
    <col min="9" max="9" width="22.5" style="381" customWidth="1" collapsed="1"/>
    <col min="10" max="12" width="15" style="381" customWidth="1" collapsed="1"/>
    <col min="13" max="13" width="15" style="382" customWidth="1" collapsed="1"/>
    <col min="14" max="14" width="8.75" style="379" customWidth="1" collapsed="1"/>
    <col min="15" max="15" width="40.25" style="379" hidden="1" customWidth="1" collapsed="1"/>
    <col min="16" max="16" width="27.875" style="384" hidden="1" customWidth="1" collapsed="1"/>
    <col min="17" max="17" width="12.625" style="384" hidden="1" customWidth="1" collapsed="1"/>
    <col min="18" max="18" width="16" style="384" hidden="1" customWidth="1" collapsed="1"/>
    <col min="19" max="19" width="17.125" style="385" hidden="1" customWidth="1" collapsed="1"/>
    <col min="20" max="20" width="10.375" style="385" hidden="1" customWidth="1" collapsed="1"/>
    <col min="21" max="21" width="13.125" style="385" hidden="1" customWidth="1" collapsed="1"/>
    <col min="22" max="22" width="8.625" style="385" hidden="1" customWidth="1" collapsed="1"/>
    <col min="23" max="25" width="6.5" style="384" hidden="1" customWidth="1" collapsed="1"/>
    <col min="26" max="41" width="6.5" style="379" hidden="1" customWidth="1" collapsed="1"/>
    <col min="42" max="42" width="28.5" style="379" hidden="1" customWidth="1" collapsed="1"/>
    <col min="43" max="43" width="13.625" style="379" hidden="1" customWidth="1" collapsed="1"/>
    <col min="44" max="44" width="13" style="379" hidden="1" customWidth="1" collapsed="1"/>
    <col min="45" max="45" width="6.5" style="379" hidden="1" customWidth="1" collapsed="1"/>
    <col min="46" max="46" width="14.625" style="379" hidden="1" customWidth="1" collapsed="1"/>
    <col min="47" max="47" width="16.625" style="379" hidden="1" customWidth="1" collapsed="1"/>
    <col min="48" max="48" width="25.625" style="379" hidden="1" customWidth="1" collapsed="1"/>
    <col min="49" max="56" width="16.625" style="379" hidden="1" customWidth="1" collapsed="1"/>
    <col min="57" max="61" width="19.125" style="379" hidden="1" customWidth="1" collapsed="1"/>
    <col min="62" max="62" width="6.5" style="379" hidden="1" customWidth="1" collapsed="1"/>
    <col min="63" max="63" width="6.5" style="379" hidden="1" customWidth="1"/>
    <col min="64" max="16384" width="6.5" style="379" hidden="1" collapsed="1"/>
  </cols>
  <sheetData>
    <row r="1" spans="1:58" s="386" customFormat="1" ht="20.100000000000001" customHeight="1">
      <c r="B1" s="1796" t="s">
        <v>248</v>
      </c>
      <c r="C1" s="379"/>
      <c r="E1" s="1947" t="s">
        <v>1008</v>
      </c>
      <c r="F1" s="1948"/>
      <c r="G1" s="1948"/>
      <c r="H1" s="1948"/>
      <c r="I1" s="1948"/>
      <c r="J1" s="1948"/>
      <c r="L1" s="42" t="str">
        <f>'Facility Info'!$F$1</f>
        <v>Last Update:</v>
      </c>
      <c r="M1" s="580">
        <f>'Facility Info'!$G$1</f>
        <v>43902</v>
      </c>
      <c r="P1" s="473"/>
      <c r="Q1" s="474"/>
      <c r="R1" s="473"/>
      <c r="S1" s="1289"/>
      <c r="T1" s="1289"/>
      <c r="U1" s="1289"/>
      <c r="V1" s="1289"/>
      <c r="W1" s="473"/>
      <c r="X1" s="473"/>
      <c r="Y1" s="473"/>
    </row>
    <row r="2" spans="1:58" s="467" customFormat="1" ht="20.100000000000001" customHeight="1">
      <c r="B2" s="386"/>
      <c r="C2" s="386"/>
      <c r="D2" s="1796"/>
      <c r="E2" s="1797"/>
      <c r="F2" s="1798"/>
      <c r="G2" s="1799"/>
      <c r="H2" s="1800"/>
      <c r="I2" s="1800"/>
      <c r="J2" s="1800"/>
      <c r="K2" s="386"/>
      <c r="L2" s="42" t="str">
        <f>'Facility Info'!$F$2</f>
        <v>Today's Date:</v>
      </c>
      <c r="M2" s="581">
        <f ca="1">'Facility Info'!$G$2</f>
        <v>43944.347985416665</v>
      </c>
      <c r="N2" s="386"/>
      <c r="P2" s="475" t="s">
        <v>140</v>
      </c>
      <c r="Q2" s="474" t="b">
        <f>HOSPITAL</f>
        <v>0</v>
      </c>
      <c r="R2" s="1290"/>
      <c r="S2" s="1290"/>
      <c r="T2" s="1291"/>
      <c r="U2" s="385"/>
      <c r="V2" s="1292"/>
      <c r="W2" s="1293"/>
      <c r="X2" s="1293"/>
      <c r="Y2" s="1293"/>
    </row>
    <row r="3" spans="1:58" ht="20.100000000000001" customHeight="1">
      <c r="B3" s="1801"/>
      <c r="C3" s="467"/>
      <c r="D3" s="1802"/>
      <c r="E3" s="1949" t="str">
        <f>FAC_INFO_HSP_PROJECT_NAME</f>
        <v>Proposed Project</v>
      </c>
      <c r="F3" s="1950"/>
      <c r="G3" s="1950"/>
      <c r="H3" s="1950"/>
      <c r="I3" s="1950"/>
      <c r="J3" s="1950"/>
      <c r="K3" s="1803"/>
      <c r="L3" s="1803"/>
      <c r="M3" s="1802"/>
      <c r="N3" s="467"/>
      <c r="P3" s="475" t="s">
        <v>593</v>
      </c>
      <c r="Q3" s="474" t="b">
        <f>ALTRURAL</f>
        <v>0</v>
      </c>
      <c r="R3" s="1294"/>
      <c r="S3" s="1295"/>
      <c r="T3" s="1296"/>
    </row>
    <row r="4" spans="1:58" ht="20.100000000000001" customHeight="1" thickBot="1">
      <c r="B4" s="379"/>
      <c r="C4" s="382"/>
      <c r="E4" s="1804"/>
      <c r="G4" s="476"/>
      <c r="J4" s="1805"/>
      <c r="P4" s="477"/>
      <c r="Q4" s="478"/>
      <c r="R4" s="1297"/>
      <c r="S4" s="1294"/>
      <c r="T4" s="1298"/>
    </row>
    <row r="5" spans="1:58" s="406" customFormat="1" ht="20.100000000000001" customHeight="1">
      <c r="B5" s="1806"/>
      <c r="C5" s="1807"/>
      <c r="D5" s="293"/>
      <c r="E5" s="1808"/>
      <c r="F5" s="292"/>
      <c r="G5" s="1809"/>
      <c r="H5" s="1810"/>
      <c r="I5" s="1810"/>
      <c r="J5" s="1810"/>
      <c r="K5" s="1810"/>
      <c r="L5" s="1810"/>
      <c r="M5" s="1807"/>
      <c r="N5" s="1811"/>
      <c r="P5" s="383"/>
      <c r="Q5" s="480"/>
      <c r="R5" s="383"/>
      <c r="T5" s="1299"/>
      <c r="U5" s="1300"/>
      <c r="V5" s="1301"/>
      <c r="X5" s="469"/>
      <c r="Y5" s="469"/>
    </row>
    <row r="6" spans="1:58" s="406" customFormat="1" ht="20.100000000000001" customHeight="1">
      <c r="B6" s="1812" t="s">
        <v>871</v>
      </c>
      <c r="C6" s="1813"/>
      <c r="D6" s="1814"/>
      <c r="E6" s="1815"/>
      <c r="F6" s="1816"/>
      <c r="G6" s="1817"/>
      <c r="H6" s="1818"/>
      <c r="I6" s="1818"/>
      <c r="J6" s="1818"/>
      <c r="K6" s="1818"/>
      <c r="L6" s="1818"/>
      <c r="M6" s="1818"/>
      <c r="N6" s="1819"/>
      <c r="P6" s="383"/>
      <c r="Q6" s="480"/>
      <c r="R6" s="1302"/>
      <c r="S6" s="1303"/>
      <c r="T6" s="1304"/>
      <c r="U6" s="1305"/>
      <c r="V6" s="1301"/>
      <c r="W6" s="469"/>
      <c r="X6" s="469"/>
      <c r="Y6" s="469"/>
      <c r="AP6" s="1303"/>
    </row>
    <row r="7" spans="1:58" s="378" customFormat="1" ht="20.100000000000001" customHeight="1">
      <c r="B7" s="1820"/>
      <c r="C7" s="1821" t="s">
        <v>144</v>
      </c>
      <c r="D7" s="1814"/>
      <c r="E7" s="1822" t="s">
        <v>145</v>
      </c>
      <c r="F7" s="1823" t="s">
        <v>146</v>
      </c>
      <c r="G7" s="1823" t="s">
        <v>289</v>
      </c>
      <c r="H7" s="1824" t="s">
        <v>287</v>
      </c>
      <c r="I7" s="1824" t="s">
        <v>145</v>
      </c>
      <c r="J7" s="1823" t="s">
        <v>146</v>
      </c>
      <c r="K7" s="1824" t="s">
        <v>289</v>
      </c>
      <c r="L7" s="1824" t="s">
        <v>287</v>
      </c>
      <c r="M7" s="1825" t="s">
        <v>147</v>
      </c>
      <c r="N7" s="1826" t="s">
        <v>795</v>
      </c>
      <c r="P7" s="471"/>
      <c r="Q7" s="471"/>
      <c r="R7" s="471"/>
      <c r="S7" s="1306"/>
      <c r="T7" s="1306"/>
      <c r="U7" s="1306"/>
      <c r="V7" s="1306"/>
      <c r="W7" s="471"/>
      <c r="X7" s="471"/>
      <c r="Y7" s="471"/>
    </row>
    <row r="8" spans="1:58" ht="20.100000000000001" customHeight="1" thickBot="1">
      <c r="A8" s="415"/>
      <c r="B8" s="1827"/>
      <c r="C8" s="1828"/>
      <c r="D8" s="1829" t="s">
        <v>149</v>
      </c>
      <c r="E8" s="1830"/>
      <c r="F8" s="1831"/>
      <c r="G8" s="1831"/>
      <c r="H8" s="1832"/>
      <c r="I8" s="1832"/>
      <c r="J8" s="1832"/>
      <c r="K8" s="1832"/>
      <c r="L8" s="1832"/>
      <c r="M8" s="1833"/>
      <c r="N8" s="1834"/>
      <c r="O8" s="415"/>
      <c r="P8" s="481"/>
      <c r="Q8" s="481"/>
      <c r="R8" s="546"/>
      <c r="S8" s="546"/>
      <c r="AX8" s="1307"/>
    </row>
    <row r="9" spans="1:58" ht="20.100000000000001" customHeight="1">
      <c r="B9" s="199"/>
      <c r="C9" s="183"/>
      <c r="D9" s="229"/>
      <c r="E9" s="483"/>
      <c r="F9" s="484"/>
      <c r="G9" s="485"/>
      <c r="H9" s="483"/>
      <c r="I9" s="483"/>
      <c r="J9" s="483"/>
      <c r="K9" s="483"/>
      <c r="L9" s="483"/>
      <c r="M9" s="482"/>
      <c r="N9" s="486"/>
      <c r="P9" s="481"/>
      <c r="Q9" s="481"/>
      <c r="R9" s="481"/>
      <c r="S9" s="546"/>
      <c r="V9" s="546"/>
      <c r="W9" s="481"/>
    </row>
    <row r="10" spans="1:58" s="415" customFormat="1" ht="20.100000000000001" customHeight="1" thickBot="1">
      <c r="B10" s="426" t="s">
        <v>290</v>
      </c>
      <c r="C10" s="192"/>
      <c r="D10" s="192"/>
      <c r="E10" s="489"/>
      <c r="F10" s="490"/>
      <c r="G10" s="491"/>
      <c r="H10" s="489"/>
      <c r="I10" s="489"/>
      <c r="J10" s="489"/>
      <c r="K10" s="489"/>
      <c r="L10" s="489"/>
      <c r="M10" s="488"/>
      <c r="N10" s="492"/>
      <c r="P10" s="383"/>
      <c r="Q10" s="405"/>
      <c r="R10" s="1308"/>
      <c r="S10" s="1309"/>
      <c r="T10" s="1305"/>
      <c r="U10" s="1305"/>
      <c r="V10" s="404"/>
      <c r="W10" s="405"/>
      <c r="X10" s="1064"/>
      <c r="Y10" s="1064"/>
      <c r="AP10" s="1310"/>
      <c r="AQ10" s="1310"/>
      <c r="AR10" s="1310"/>
      <c r="AS10" s="1310"/>
      <c r="AT10" s="1310"/>
      <c r="AU10" s="1311"/>
      <c r="AV10" s="513"/>
      <c r="AW10" s="513"/>
      <c r="AX10" s="513"/>
      <c r="AY10" s="513"/>
      <c r="AZ10" s="513"/>
      <c r="BA10" s="513"/>
      <c r="BB10" s="513"/>
      <c r="BC10" s="513"/>
      <c r="BD10" s="513"/>
      <c r="BE10" s="513"/>
      <c r="BF10" s="513"/>
    </row>
    <row r="11" spans="1:58" s="415" customFormat="1" ht="20.100000000000001" customHeight="1">
      <c r="B11" s="418"/>
      <c r="C11" s="493" t="s">
        <v>291</v>
      </c>
      <c r="D11" s="432"/>
      <c r="E11" s="495"/>
      <c r="F11" s="496"/>
      <c r="G11" s="497"/>
      <c r="H11" s="495"/>
      <c r="I11" s="495"/>
      <c r="J11" s="495"/>
      <c r="K11" s="495"/>
      <c r="L11" s="495"/>
      <c r="M11" s="494"/>
      <c r="N11" s="498"/>
      <c r="P11" s="405"/>
      <c r="Q11" s="405"/>
      <c r="R11" s="383"/>
      <c r="S11" s="1305"/>
      <c r="T11" s="1305"/>
      <c r="U11" s="1305"/>
      <c r="V11" s="404"/>
      <c r="W11" s="405"/>
      <c r="X11" s="1064"/>
      <c r="Y11" s="1064"/>
      <c r="AP11" s="499"/>
      <c r="AQ11" s="499"/>
      <c r="AR11" s="500"/>
      <c r="AS11" s="499"/>
      <c r="AT11" s="499"/>
      <c r="AU11" s="501"/>
      <c r="AV11" s="502"/>
      <c r="AW11" s="513"/>
      <c r="AX11" s="513"/>
      <c r="AY11" s="503"/>
      <c r="AZ11" s="513"/>
      <c r="BA11" s="513"/>
      <c r="BB11" s="513"/>
      <c r="BC11" s="513"/>
      <c r="BD11" s="513"/>
      <c r="BE11" s="513"/>
      <c r="BF11" s="513"/>
    </row>
    <row r="12" spans="1:58" s="415" customFormat="1" ht="20.100000000000001" customHeight="1">
      <c r="A12" s="415">
        <v>70</v>
      </c>
      <c r="B12" s="421"/>
      <c r="C12" s="504"/>
      <c r="D12" s="449" t="s">
        <v>292</v>
      </c>
      <c r="E12" s="227" t="s">
        <v>4</v>
      </c>
      <c r="F12" s="328">
        <v>1</v>
      </c>
      <c r="G12" s="505"/>
      <c r="H12" s="228">
        <v>2</v>
      </c>
      <c r="I12" s="228"/>
      <c r="J12" s="228"/>
      <c r="K12" s="228"/>
      <c r="L12" s="228"/>
      <c r="M12" s="506">
        <f>IF(HOSPITAL,H12*F12,0)+IF(ADPL&lt;G13,ADPL/F13,L13*(ADPL-K13)/J13+H13*G13/F13)+FAC_INFO_TREATMENT_SPACE*H14/F14</f>
        <v>0</v>
      </c>
      <c r="N12" s="1225">
        <f>-M16</f>
        <v>0</v>
      </c>
      <c r="O12" s="405"/>
      <c r="R12" s="383"/>
      <c r="S12" s="1305"/>
      <c r="T12" s="1305"/>
      <c r="U12" s="1305"/>
      <c r="V12" s="404"/>
      <c r="W12" s="405"/>
      <c r="X12" s="1064"/>
      <c r="Y12" s="1064"/>
      <c r="AP12" s="501"/>
      <c r="AQ12" s="501"/>
      <c r="AR12" s="507"/>
      <c r="AS12" s="501"/>
      <c r="AT12" s="501"/>
      <c r="AU12" s="501"/>
      <c r="AV12" s="502"/>
      <c r="AW12" s="513"/>
      <c r="AX12" s="513"/>
      <c r="AY12" s="503"/>
      <c r="AZ12" s="513"/>
      <c r="BA12" s="513"/>
      <c r="BB12" s="513"/>
      <c r="BC12" s="513"/>
      <c r="BD12" s="513"/>
      <c r="BE12" s="513"/>
      <c r="BF12" s="513"/>
    </row>
    <row r="13" spans="1:58" s="415" customFormat="1" ht="20.100000000000001" customHeight="1">
      <c r="B13" s="421"/>
      <c r="C13" s="504"/>
      <c r="D13" s="449"/>
      <c r="E13" s="227" t="s">
        <v>181</v>
      </c>
      <c r="F13" s="328">
        <v>7</v>
      </c>
      <c r="G13" s="505">
        <v>21</v>
      </c>
      <c r="H13" s="228">
        <v>1</v>
      </c>
      <c r="I13" s="228" t="s">
        <v>181</v>
      </c>
      <c r="J13" s="228">
        <v>10</v>
      </c>
      <c r="K13" s="228">
        <v>21</v>
      </c>
      <c r="L13" s="228">
        <v>1</v>
      </c>
      <c r="M13" s="506"/>
      <c r="N13" s="1240"/>
      <c r="O13" s="405"/>
      <c r="R13" s="383"/>
      <c r="S13" s="1305"/>
      <c r="T13" s="1305"/>
      <c r="U13" s="1305"/>
      <c r="V13" s="404"/>
      <c r="W13" s="405"/>
      <c r="X13" s="1064"/>
      <c r="Y13" s="1064"/>
      <c r="AP13" s="501"/>
      <c r="AQ13" s="501"/>
      <c r="AR13" s="507"/>
      <c r="AS13" s="501"/>
      <c r="AT13" s="501"/>
      <c r="AU13" s="501"/>
      <c r="AV13" s="502"/>
      <c r="AW13" s="513"/>
      <c r="AX13" s="513"/>
      <c r="AY13" s="503"/>
      <c r="AZ13" s="513"/>
      <c r="BA13" s="513"/>
      <c r="BB13" s="513"/>
      <c r="BC13" s="513"/>
      <c r="BD13" s="513"/>
      <c r="BE13" s="513"/>
      <c r="BF13" s="513"/>
    </row>
    <row r="14" spans="1:58" ht="20.100000000000001" customHeight="1">
      <c r="B14" s="436"/>
      <c r="C14" s="183"/>
      <c r="D14" s="449"/>
      <c r="E14" s="349" t="s">
        <v>293</v>
      </c>
      <c r="F14" s="347">
        <v>1000</v>
      </c>
      <c r="G14" s="328"/>
      <c r="H14" s="228">
        <v>1</v>
      </c>
      <c r="I14" s="228"/>
      <c r="J14" s="228"/>
      <c r="K14" s="228"/>
      <c r="L14" s="228"/>
      <c r="M14" s="230"/>
      <c r="N14" s="1240"/>
      <c r="O14" s="385"/>
      <c r="R14" s="385"/>
      <c r="S14" s="546"/>
      <c r="V14" s="23"/>
      <c r="W14" s="23"/>
      <c r="AP14" s="508"/>
      <c r="AQ14" s="509"/>
      <c r="AR14" s="510"/>
      <c r="AS14" s="1312"/>
      <c r="AT14" s="508"/>
      <c r="AU14" s="508"/>
      <c r="AV14" s="511"/>
      <c r="AW14" s="512"/>
      <c r="AX14" s="513"/>
      <c r="AY14" s="513"/>
      <c r="AZ14" s="503"/>
      <c r="BA14" s="513"/>
      <c r="BB14" s="513"/>
      <c r="BC14" s="512"/>
      <c r="BD14" s="513"/>
      <c r="BE14" s="513"/>
      <c r="BF14" s="513"/>
    </row>
    <row r="15" spans="1:58" ht="20.100000000000001" customHeight="1">
      <c r="A15" s="415">
        <v>269</v>
      </c>
      <c r="B15" s="1035"/>
      <c r="C15" s="287"/>
      <c r="D15" s="449" t="s">
        <v>788</v>
      </c>
      <c r="E15" s="227" t="s">
        <v>157</v>
      </c>
      <c r="F15" s="328">
        <v>1</v>
      </c>
      <c r="G15" s="505">
        <v>10</v>
      </c>
      <c r="H15" s="228">
        <v>1</v>
      </c>
      <c r="I15" s="228"/>
      <c r="J15" s="228"/>
      <c r="K15" s="228"/>
      <c r="L15" s="228"/>
      <c r="M15" s="506">
        <f>IF(M12&gt;G15,H15*F15,0)*(FAC_INFO_FAC_TYPE&lt;&gt;1)</f>
        <v>0</v>
      </c>
      <c r="N15" s="1241"/>
      <c r="O15" s="385"/>
      <c r="R15" s="385"/>
      <c r="S15" s="546"/>
      <c r="V15" s="23"/>
      <c r="W15" s="23"/>
      <c r="AP15" s="508"/>
      <c r="AQ15" s="509"/>
      <c r="AR15" s="510"/>
      <c r="AS15" s="1312"/>
      <c r="AT15" s="508"/>
      <c r="AU15" s="508"/>
      <c r="AV15" s="511"/>
      <c r="AW15" s="512"/>
      <c r="AX15" s="513"/>
      <c r="AY15" s="513"/>
      <c r="AZ15" s="503"/>
      <c r="BA15" s="513"/>
      <c r="BB15" s="513"/>
      <c r="BC15" s="512"/>
      <c r="BD15" s="513"/>
      <c r="BE15" s="513"/>
      <c r="BF15" s="513"/>
    </row>
    <row r="16" spans="1:58" ht="20.100000000000001" customHeight="1">
      <c r="A16" s="415">
        <v>270</v>
      </c>
      <c r="B16" s="1035"/>
      <c r="C16" s="287"/>
      <c r="D16" s="449" t="s">
        <v>789</v>
      </c>
      <c r="E16" s="227" t="s">
        <v>157</v>
      </c>
      <c r="F16" s="328">
        <v>1</v>
      </c>
      <c r="G16" s="505"/>
      <c r="H16" s="228">
        <v>1</v>
      </c>
      <c r="I16" s="228"/>
      <c r="J16" s="228"/>
      <c r="K16" s="228"/>
      <c r="L16" s="228"/>
      <c r="M16" s="506">
        <f>IF(M12&gt;=1,H16*F16,0)*(FAC_INFO_FAC_TYPE&lt;&gt;1)</f>
        <v>0</v>
      </c>
      <c r="N16" s="1241"/>
      <c r="O16" s="385"/>
      <c r="R16" s="385"/>
      <c r="S16" s="546"/>
      <c r="V16" s="23"/>
      <c r="W16" s="23"/>
      <c r="AP16" s="508"/>
      <c r="AQ16" s="509"/>
      <c r="AR16" s="510"/>
      <c r="AS16" s="1312"/>
      <c r="AT16" s="508"/>
      <c r="AU16" s="508"/>
      <c r="AV16" s="511"/>
      <c r="AW16" s="512"/>
      <c r="AX16" s="513"/>
      <c r="AY16" s="513"/>
      <c r="AZ16" s="503"/>
      <c r="BA16" s="513"/>
      <c r="BB16" s="513"/>
      <c r="BC16" s="512"/>
      <c r="BD16" s="513"/>
      <c r="BE16" s="513"/>
      <c r="BF16" s="513"/>
    </row>
    <row r="17" spans="1:58" ht="20.100000000000001" customHeight="1" thickBot="1">
      <c r="B17" s="446"/>
      <c r="C17" s="234"/>
      <c r="D17" s="452"/>
      <c r="E17" s="514"/>
      <c r="F17" s="515"/>
      <c r="G17" s="516"/>
      <c r="H17" s="517"/>
      <c r="I17" s="517"/>
      <c r="J17" s="517"/>
      <c r="K17" s="517"/>
      <c r="L17" s="517"/>
      <c r="M17" s="584">
        <f>SUM(M12:M14)</f>
        <v>0</v>
      </c>
      <c r="N17" s="1242"/>
      <c r="O17" s="385"/>
      <c r="R17" s="385"/>
      <c r="S17" s="546"/>
      <c r="V17" s="23"/>
      <c r="W17" s="23"/>
      <c r="AP17" s="508"/>
      <c r="AQ17" s="509"/>
      <c r="AR17" s="510"/>
      <c r="AS17" s="1312"/>
      <c r="AT17" s="508"/>
      <c r="AU17" s="508"/>
      <c r="AV17" s="511"/>
      <c r="AW17" s="512"/>
      <c r="AX17" s="513"/>
      <c r="AY17" s="513"/>
      <c r="AZ17" s="503"/>
      <c r="BA17" s="513"/>
      <c r="BB17" s="513"/>
      <c r="BC17" s="512"/>
      <c r="BD17" s="513"/>
      <c r="BE17" s="513"/>
      <c r="BF17" s="513"/>
    </row>
    <row r="18" spans="1:58" s="415" customFormat="1" ht="20.100000000000001" customHeight="1">
      <c r="B18" s="418"/>
      <c r="C18" s="519" t="s">
        <v>294</v>
      </c>
      <c r="D18" s="432"/>
      <c r="E18" s="494"/>
      <c r="F18" s="497"/>
      <c r="G18" s="496"/>
      <c r="H18" s="495"/>
      <c r="I18" s="495"/>
      <c r="J18" s="495"/>
      <c r="K18" s="495"/>
      <c r="L18" s="495"/>
      <c r="M18" s="495"/>
      <c r="N18" s="1243"/>
      <c r="O18" s="520"/>
      <c r="R18" s="520"/>
      <c r="S18" s="525"/>
      <c r="T18" s="1313"/>
      <c r="U18" s="1313"/>
      <c r="V18" s="23"/>
      <c r="W18" s="23"/>
      <c r="X18" s="1064"/>
      <c r="Y18" s="1064"/>
      <c r="AP18" s="501"/>
      <c r="AQ18" s="1311"/>
      <c r="AR18" s="521"/>
      <c r="AS18" s="1311"/>
      <c r="AT18" s="521"/>
      <c r="AU18" s="522"/>
      <c r="AV18" s="513"/>
      <c r="AW18" s="513"/>
      <c r="AX18" s="513"/>
      <c r="AY18" s="513"/>
      <c r="AZ18" s="513"/>
      <c r="BA18" s="513"/>
      <c r="BB18" s="513"/>
      <c r="BC18" s="513"/>
      <c r="BD18" s="513"/>
      <c r="BE18" s="513"/>
      <c r="BF18" s="513"/>
    </row>
    <row r="19" spans="1:58" s="415" customFormat="1" ht="20.100000000000001" customHeight="1">
      <c r="A19" s="415">
        <v>71</v>
      </c>
      <c r="B19" s="421"/>
      <c r="C19" s="479"/>
      <c r="D19" s="449" t="s">
        <v>295</v>
      </c>
      <c r="E19" s="227" t="s">
        <v>157</v>
      </c>
      <c r="F19" s="328">
        <v>1</v>
      </c>
      <c r="G19" s="505"/>
      <c r="H19" s="228">
        <v>0.5</v>
      </c>
      <c r="I19" s="349" t="s">
        <v>4</v>
      </c>
      <c r="J19" s="347">
        <v>1</v>
      </c>
      <c r="K19" s="542"/>
      <c r="L19" s="348">
        <v>2</v>
      </c>
      <c r="M19" s="604">
        <f>H19*(FAC_INFO_FAC_TYPE&lt;&gt;1)+IF(HOSPITAL,L19,0)</f>
        <v>0</v>
      </c>
      <c r="N19" s="1240"/>
      <c r="O19" s="520"/>
      <c r="R19" s="520"/>
      <c r="S19" s="525"/>
      <c r="T19" s="1313"/>
      <c r="U19" s="1313"/>
      <c r="V19" s="23"/>
      <c r="W19" s="23"/>
      <c r="X19" s="1064"/>
      <c r="Y19" s="1064"/>
      <c r="AP19" s="501"/>
      <c r="AQ19" s="1311"/>
      <c r="AR19" s="521"/>
      <c r="AS19" s="1311"/>
      <c r="AT19" s="521"/>
      <c r="AU19" s="522"/>
      <c r="AV19" s="513"/>
      <c r="AW19" s="513"/>
      <c r="AX19" s="513"/>
      <c r="AY19" s="513"/>
      <c r="AZ19" s="513"/>
      <c r="BA19" s="513"/>
      <c r="BB19" s="513"/>
      <c r="BC19" s="513"/>
      <c r="BD19" s="513"/>
      <c r="BE19" s="513"/>
      <c r="BF19" s="513"/>
    </row>
    <row r="20" spans="1:58" s="415" customFormat="1" ht="20.100000000000001" customHeight="1">
      <c r="B20" s="421"/>
      <c r="C20" s="479"/>
      <c r="D20" s="449" t="s">
        <v>295</v>
      </c>
      <c r="E20" s="227" t="s">
        <v>181</v>
      </c>
      <c r="F20" s="328">
        <v>10</v>
      </c>
      <c r="G20" s="505"/>
      <c r="H20" s="228">
        <v>1</v>
      </c>
      <c r="I20" s="349" t="s">
        <v>296</v>
      </c>
      <c r="J20" s="605">
        <v>3.0350000000000001</v>
      </c>
      <c r="K20" s="542"/>
      <c r="L20" s="348">
        <v>1</v>
      </c>
      <c r="M20" s="604">
        <f>ADPL/F20*H20+'Facility Info'!J23/J20*L20</f>
        <v>0</v>
      </c>
      <c r="N20" s="1240"/>
      <c r="O20" s="520"/>
      <c r="R20" s="520"/>
      <c r="S20" s="525"/>
      <c r="T20" s="1313"/>
      <c r="U20" s="1313"/>
      <c r="V20" s="23"/>
      <c r="W20" s="23"/>
      <c r="X20" s="1064"/>
      <c r="Y20" s="1064"/>
      <c r="AP20" s="501"/>
      <c r="AQ20" s="1311"/>
      <c r="AR20" s="521"/>
      <c r="AS20" s="1311"/>
      <c r="AT20" s="521"/>
      <c r="AU20" s="522"/>
      <c r="AV20" s="513"/>
      <c r="AW20" s="513"/>
      <c r="AX20" s="513"/>
      <c r="AY20" s="513"/>
      <c r="AZ20" s="513"/>
      <c r="BA20" s="513"/>
      <c r="BB20" s="513"/>
      <c r="BC20" s="513"/>
      <c r="BD20" s="513"/>
      <c r="BE20" s="513"/>
      <c r="BF20" s="513"/>
    </row>
    <row r="21" spans="1:58" s="415" customFormat="1" ht="20.100000000000001" customHeight="1">
      <c r="B21" s="421"/>
      <c r="C21" s="479"/>
      <c r="D21" s="449" t="s">
        <v>295</v>
      </c>
      <c r="E21" s="227" t="s">
        <v>297</v>
      </c>
      <c r="F21" s="328" t="s">
        <v>298</v>
      </c>
      <c r="G21" s="542"/>
      <c r="H21" s="228">
        <v>1</v>
      </c>
      <c r="I21" s="349" t="s">
        <v>299</v>
      </c>
      <c r="J21" s="347">
        <v>2000</v>
      </c>
      <c r="K21" s="1277">
        <f>M21-FAC_INFO_QUARTERS_SPACE/J21*L21</f>
        <v>0</v>
      </c>
      <c r="L21" s="348">
        <v>1</v>
      </c>
      <c r="M21" s="604">
        <f>IF(FAC_INFO_TREATMENT_SPACE&lt;=1400, FAC_INFO_TREATMENT_SPACE/1000,IF(FAC_INFO_TREATMENT_SPACE&gt;3700, FAC_INFO_TREATMENT_SPACE/1500, FAC_INFO_TREATMENT_SPACE/1200))+FAC_INFO_QUARTERS_SPACE/J21*L21</f>
        <v>0</v>
      </c>
      <c r="N21" s="1240"/>
      <c r="O21" s="520"/>
      <c r="R21" s="520"/>
      <c r="S21" s="525"/>
      <c r="T21" s="1313"/>
      <c r="U21" s="1313"/>
      <c r="V21" s="23"/>
      <c r="W21" s="23"/>
      <c r="X21" s="1064"/>
      <c r="Y21" s="1064"/>
      <c r="AP21" s="501"/>
      <c r="AQ21" s="1311"/>
      <c r="AR21" s="521"/>
      <c r="AS21" s="1311"/>
      <c r="AT21" s="521"/>
      <c r="AU21" s="522"/>
      <c r="AV21" s="513"/>
      <c r="AW21" s="513"/>
      <c r="AX21" s="513"/>
      <c r="AY21" s="513"/>
      <c r="AZ21" s="513"/>
      <c r="BA21" s="513"/>
      <c r="BB21" s="513"/>
      <c r="BC21" s="513"/>
      <c r="BD21" s="513"/>
      <c r="BE21" s="513"/>
      <c r="BF21" s="513"/>
    </row>
    <row r="22" spans="1:58" ht="20.100000000000001" customHeight="1" thickBot="1">
      <c r="B22" s="446"/>
      <c r="C22" s="235"/>
      <c r="D22" s="452"/>
      <c r="E22" s="514"/>
      <c r="F22" s="515"/>
      <c r="G22" s="516"/>
      <c r="H22" s="517"/>
      <c r="I22" s="517"/>
      <c r="J22" s="517"/>
      <c r="K22" s="517"/>
      <c r="L22" s="517"/>
      <c r="M22" s="584">
        <f>SUM(M19:M21)</f>
        <v>0</v>
      </c>
      <c r="N22" s="1242"/>
      <c r="O22" s="385"/>
      <c r="R22" s="385"/>
      <c r="S22" s="546"/>
      <c r="V22" s="23"/>
      <c r="W22" s="23"/>
      <c r="Z22" s="23"/>
      <c r="AP22" s="501"/>
      <c r="AQ22" s="1311"/>
      <c r="AR22" s="521"/>
      <c r="AS22" s="1311"/>
      <c r="AT22" s="521"/>
      <c r="AU22" s="522"/>
      <c r="AV22" s="513"/>
      <c r="AW22" s="513"/>
      <c r="AX22" s="513"/>
      <c r="AY22" s="513"/>
      <c r="AZ22" s="513"/>
      <c r="BA22" s="513"/>
      <c r="BB22" s="513"/>
      <c r="BC22" s="512"/>
      <c r="BD22" s="503"/>
      <c r="BE22" s="513"/>
      <c r="BF22" s="513"/>
    </row>
    <row r="23" spans="1:58" s="415" customFormat="1" ht="20.100000000000001" customHeight="1">
      <c r="B23" s="418"/>
      <c r="C23" s="524" t="s">
        <v>300</v>
      </c>
      <c r="D23" s="432"/>
      <c r="E23" s="494"/>
      <c r="F23" s="497"/>
      <c r="G23" s="496"/>
      <c r="H23" s="495"/>
      <c r="I23" s="495"/>
      <c r="J23" s="495"/>
      <c r="K23" s="495"/>
      <c r="L23" s="495"/>
      <c r="M23" s="494"/>
      <c r="N23" s="1243"/>
      <c r="O23" s="525"/>
      <c r="R23" s="525"/>
      <c r="S23" s="525"/>
      <c r="T23" s="1313"/>
      <c r="U23" s="1313"/>
      <c r="V23" s="525"/>
      <c r="W23" s="928"/>
      <c r="X23" s="1064"/>
      <c r="Y23" s="1064"/>
      <c r="Z23" s="23"/>
      <c r="AM23" s="1314"/>
      <c r="AY23" s="513"/>
      <c r="AZ23" s="513"/>
      <c r="BA23" s="513"/>
      <c r="BB23" s="513"/>
      <c r="BC23" s="513"/>
      <c r="BD23" s="513"/>
      <c r="BE23" s="513"/>
      <c r="BF23" s="513"/>
    </row>
    <row r="24" spans="1:58" s="415" customFormat="1" ht="20.100000000000001" customHeight="1">
      <c r="A24" s="415">
        <v>72</v>
      </c>
      <c r="B24" s="421"/>
      <c r="C24" s="526"/>
      <c r="D24" s="198" t="s">
        <v>301</v>
      </c>
      <c r="E24" s="214" t="s">
        <v>4</v>
      </c>
      <c r="F24" s="231">
        <v>1</v>
      </c>
      <c r="G24" s="505"/>
      <c r="H24" s="213">
        <v>1</v>
      </c>
      <c r="I24" s="214" t="s">
        <v>157</v>
      </c>
      <c r="J24" s="231">
        <v>1</v>
      </c>
      <c r="K24" s="505"/>
      <c r="L24" s="213">
        <v>0.5</v>
      </c>
      <c r="M24" s="523">
        <f>L24*(FAC_INFO_FAC_TYPE&lt;&gt;1)+IF(HOSPITAL,H24,0)</f>
        <v>0</v>
      </c>
      <c r="N24" s="1240"/>
      <c r="O24" s="525"/>
      <c r="R24" s="525"/>
      <c r="S24" s="525"/>
      <c r="T24" s="1313"/>
      <c r="U24" s="1313"/>
      <c r="V24" s="525"/>
      <c r="W24" s="928"/>
      <c r="X24" s="1064"/>
      <c r="Y24" s="1064"/>
      <c r="Z24" s="23"/>
      <c r="AM24" s="1314"/>
      <c r="AY24" s="513"/>
      <c r="AZ24" s="513"/>
      <c r="BA24" s="513"/>
      <c r="BB24" s="513"/>
      <c r="BC24" s="513"/>
      <c r="BD24" s="513"/>
      <c r="BE24" s="513"/>
      <c r="BF24" s="513"/>
    </row>
    <row r="25" spans="1:58" s="415" customFormat="1" ht="20.100000000000001" customHeight="1">
      <c r="A25" s="415">
        <v>422</v>
      </c>
      <c r="B25" s="421"/>
      <c r="C25" s="526"/>
      <c r="D25" s="527" t="s">
        <v>165</v>
      </c>
      <c r="E25" s="528" t="s">
        <v>220</v>
      </c>
      <c r="F25" s="529">
        <v>65000</v>
      </c>
      <c r="G25" s="530"/>
      <c r="H25" s="531">
        <v>0.3</v>
      </c>
      <c r="I25" s="528"/>
      <c r="J25" s="529"/>
      <c r="K25" s="530"/>
      <c r="L25" s="531"/>
      <c r="M25" s="532">
        <f>PCPV/F25*H25</f>
        <v>0</v>
      </c>
      <c r="N25" s="1244"/>
      <c r="O25" s="525"/>
      <c r="R25" s="525"/>
      <c r="S25" s="525"/>
      <c r="T25" s="1313"/>
      <c r="U25" s="1313"/>
      <c r="V25" s="525"/>
      <c r="W25" s="928"/>
      <c r="X25" s="1064"/>
      <c r="Y25" s="1064"/>
      <c r="Z25" s="23"/>
      <c r="AM25" s="1314"/>
      <c r="AY25" s="513"/>
      <c r="AZ25" s="513"/>
      <c r="BA25" s="513"/>
      <c r="BB25" s="513"/>
      <c r="BC25" s="513"/>
      <c r="BD25" s="513"/>
      <c r="BE25" s="513"/>
      <c r="BF25" s="513"/>
    </row>
    <row r="26" spans="1:58" s="415" customFormat="1" ht="20.100000000000001" customHeight="1">
      <c r="A26" s="415">
        <v>423</v>
      </c>
      <c r="B26" s="421"/>
      <c r="C26" s="526"/>
      <c r="D26" s="198" t="s">
        <v>302</v>
      </c>
      <c r="E26" s="214" t="s">
        <v>181</v>
      </c>
      <c r="F26" s="231">
        <v>50000</v>
      </c>
      <c r="G26" s="505"/>
      <c r="H26" s="213">
        <v>0.5</v>
      </c>
      <c r="I26" s="214" t="s">
        <v>220</v>
      </c>
      <c r="J26" s="231">
        <v>325000</v>
      </c>
      <c r="K26" s="505"/>
      <c r="L26" s="213">
        <v>0.5</v>
      </c>
      <c r="M26" s="523">
        <f>ADPL/F26*H26+PCPV/J26*L26</f>
        <v>0</v>
      </c>
      <c r="N26" s="1240"/>
      <c r="O26" s="525"/>
      <c r="R26" s="525"/>
      <c r="S26" s="525"/>
      <c r="T26" s="1313"/>
      <c r="U26" s="1313"/>
      <c r="V26" s="525"/>
      <c r="W26" s="928"/>
      <c r="X26" s="1064"/>
      <c r="Y26" s="1064"/>
      <c r="Z26" s="23"/>
      <c r="AM26" s="1314"/>
      <c r="AY26" s="513"/>
      <c r="AZ26" s="513"/>
      <c r="BA26" s="513"/>
      <c r="BB26" s="513"/>
      <c r="BC26" s="513"/>
      <c r="BD26" s="513"/>
      <c r="BE26" s="513"/>
      <c r="BF26" s="513"/>
    </row>
    <row r="27" spans="1:58" s="415" customFormat="1" ht="20.100000000000001" customHeight="1">
      <c r="B27" s="421"/>
      <c r="C27" s="526"/>
      <c r="D27" s="198" t="s">
        <v>302</v>
      </c>
      <c r="E27" s="214" t="s">
        <v>303</v>
      </c>
      <c r="F27" s="231">
        <v>85000</v>
      </c>
      <c r="G27" s="505"/>
      <c r="H27" s="213">
        <v>0.5</v>
      </c>
      <c r="I27" s="214" t="s">
        <v>304</v>
      </c>
      <c r="J27" s="231">
        <v>10000000</v>
      </c>
      <c r="K27" s="505">
        <v>95</v>
      </c>
      <c r="L27" s="213">
        <v>0.5</v>
      </c>
      <c r="M27" s="523">
        <f>'Outpatient Workload'!D38/F27*H27+FAC_INFO_Dental/J27*L27*K27</f>
        <v>0</v>
      </c>
      <c r="N27" s="1240"/>
      <c r="O27" s="525" t="s">
        <v>305</v>
      </c>
      <c r="R27" s="525"/>
      <c r="S27" s="525"/>
      <c r="T27" s="384"/>
      <c r="U27" s="384"/>
      <c r="V27" s="525"/>
      <c r="W27" s="928"/>
      <c r="X27" s="1064"/>
      <c r="Y27" s="1064"/>
      <c r="Z27" s="23"/>
      <c r="AM27" s="1314"/>
      <c r="AY27" s="513"/>
      <c r="AZ27" s="513"/>
      <c r="BA27" s="513"/>
      <c r="BB27" s="513"/>
      <c r="BC27" s="513"/>
      <c r="BD27" s="513"/>
      <c r="BE27" s="513"/>
      <c r="BF27" s="513"/>
    </row>
    <row r="28" spans="1:58" s="415" customFormat="1" ht="20.100000000000001" customHeight="1">
      <c r="B28" s="421"/>
      <c r="C28" s="526"/>
      <c r="D28" s="198" t="s">
        <v>302</v>
      </c>
      <c r="E28" s="214" t="s">
        <v>306</v>
      </c>
      <c r="F28" s="231">
        <v>5000</v>
      </c>
      <c r="G28" s="505"/>
      <c r="H28" s="213">
        <v>0.5</v>
      </c>
      <c r="I28" s="214" t="s">
        <v>307</v>
      </c>
      <c r="J28" s="231">
        <v>5500</v>
      </c>
      <c r="K28" s="505"/>
      <c r="L28" s="213">
        <v>0.5</v>
      </c>
      <c r="M28" s="523">
        <f>'Inpatient Workload'!E12/F28*H28+('Inpatient Workload'!E13+OP_WKL_Outpatient_Surgery)/J28*L28</f>
        <v>0</v>
      </c>
      <c r="N28" s="1240"/>
      <c r="O28" s="525"/>
      <c r="R28" s="525"/>
      <c r="S28" s="525"/>
      <c r="T28" s="384"/>
      <c r="U28" s="384"/>
      <c r="V28" s="525"/>
      <c r="W28" s="928"/>
      <c r="X28" s="1064"/>
      <c r="Y28" s="1064"/>
      <c r="Z28" s="23"/>
      <c r="AM28" s="1314"/>
      <c r="AY28" s="513"/>
      <c r="AZ28" s="513"/>
      <c r="BA28" s="513"/>
      <c r="BB28" s="513"/>
      <c r="BC28" s="513"/>
      <c r="BD28" s="513"/>
      <c r="BE28" s="513"/>
      <c r="BF28" s="513"/>
    </row>
    <row r="29" spans="1:58" s="415" customFormat="1" ht="20.100000000000001" customHeight="1">
      <c r="A29" s="415">
        <v>424</v>
      </c>
      <c r="B29" s="421"/>
      <c r="C29" s="526"/>
      <c r="D29" s="198" t="s">
        <v>308</v>
      </c>
      <c r="E29" s="214" t="s">
        <v>181</v>
      </c>
      <c r="F29" s="231">
        <v>10000</v>
      </c>
      <c r="G29" s="505"/>
      <c r="H29" s="213">
        <v>0.5</v>
      </c>
      <c r="I29" s="214" t="s">
        <v>220</v>
      </c>
      <c r="J29" s="231">
        <v>65000</v>
      </c>
      <c r="K29" s="505"/>
      <c r="L29" s="213">
        <v>0.5</v>
      </c>
      <c r="M29" s="523">
        <f>ADPL/F29*H29+PCPV/J29*L29</f>
        <v>0</v>
      </c>
      <c r="N29" s="1240"/>
      <c r="O29" s="525"/>
      <c r="R29" s="525"/>
      <c r="S29" s="525"/>
      <c r="T29" s="384"/>
      <c r="U29" s="384"/>
      <c r="V29" s="525"/>
      <c r="W29" s="928"/>
      <c r="X29" s="1064"/>
      <c r="Y29" s="1064"/>
      <c r="Z29" s="23"/>
      <c r="AM29" s="1314"/>
      <c r="AY29" s="513"/>
      <c r="AZ29" s="513"/>
      <c r="BA29" s="513"/>
      <c r="BB29" s="513"/>
      <c r="BC29" s="513"/>
      <c r="BD29" s="513"/>
      <c r="BE29" s="513"/>
      <c r="BF29" s="513"/>
    </row>
    <row r="30" spans="1:58" s="415" customFormat="1" ht="20.100000000000001" customHeight="1">
      <c r="B30" s="421"/>
      <c r="C30" s="526"/>
      <c r="D30" s="198" t="s">
        <v>308</v>
      </c>
      <c r="E30" s="214" t="s">
        <v>303</v>
      </c>
      <c r="F30" s="231">
        <v>17000</v>
      </c>
      <c r="G30" s="505"/>
      <c r="H30" s="213">
        <v>0.5</v>
      </c>
      <c r="I30" s="214" t="s">
        <v>304</v>
      </c>
      <c r="J30" s="231">
        <v>2000000</v>
      </c>
      <c r="K30" s="505">
        <v>95</v>
      </c>
      <c r="L30" s="213">
        <v>0.5</v>
      </c>
      <c r="M30" s="523">
        <f>OP_WKL_ER_PCPVs/F30*H30 + L30*((FAC_INFO_Dental*K30)/J30)</f>
        <v>0</v>
      </c>
      <c r="N30" s="1240"/>
      <c r="O30" s="525" t="s">
        <v>309</v>
      </c>
      <c r="R30" s="525"/>
      <c r="S30" s="525"/>
      <c r="T30" s="384"/>
      <c r="U30" s="384"/>
      <c r="V30" s="525"/>
      <c r="W30" s="928"/>
      <c r="X30" s="1064"/>
      <c r="Y30" s="1064"/>
      <c r="Z30" s="23"/>
      <c r="AM30" s="1314"/>
      <c r="AY30" s="513"/>
      <c r="AZ30" s="513"/>
      <c r="BA30" s="513"/>
      <c r="BB30" s="513"/>
      <c r="BC30" s="513"/>
      <c r="BD30" s="513"/>
      <c r="BE30" s="513"/>
      <c r="BF30" s="513"/>
    </row>
    <row r="31" spans="1:58" s="415" customFormat="1" ht="20.100000000000001" customHeight="1">
      <c r="B31" s="421"/>
      <c r="C31" s="526"/>
      <c r="D31" s="198" t="s">
        <v>308</v>
      </c>
      <c r="E31" s="214" t="s">
        <v>306</v>
      </c>
      <c r="F31" s="231">
        <v>1000</v>
      </c>
      <c r="G31" s="505"/>
      <c r="H31" s="213">
        <v>0.5</v>
      </c>
      <c r="I31" s="214" t="s">
        <v>307</v>
      </c>
      <c r="J31" s="231">
        <v>1100</v>
      </c>
      <c r="K31" s="505"/>
      <c r="L31" s="213">
        <v>0.5</v>
      </c>
      <c r="M31" s="523">
        <f>'Inpatient Workload'!E12/F31*H31+('Inpatient Workload'!E13+OP_WKL_Outpatient_Surgery)/J31*L31</f>
        <v>0</v>
      </c>
      <c r="N31" s="1240"/>
      <c r="O31" s="525"/>
      <c r="R31" s="525"/>
      <c r="S31" s="546"/>
      <c r="T31" s="384"/>
      <c r="U31" s="384"/>
      <c r="V31" s="525"/>
      <c r="W31" s="928"/>
      <c r="X31" s="23"/>
      <c r="Y31" s="23"/>
      <c r="Z31" s="23"/>
      <c r="AA31" s="23"/>
      <c r="AM31" s="1314"/>
      <c r="AY31" s="513"/>
      <c r="AZ31" s="513"/>
      <c r="BA31" s="513"/>
      <c r="BB31" s="513"/>
      <c r="BC31" s="513"/>
      <c r="BD31" s="513"/>
      <c r="BE31" s="513"/>
      <c r="BF31" s="513"/>
    </row>
    <row r="32" spans="1:58" s="415" customFormat="1" ht="20.100000000000001" customHeight="1" thickBot="1">
      <c r="B32" s="396"/>
      <c r="C32" s="533"/>
      <c r="D32" s="261"/>
      <c r="E32" s="514"/>
      <c r="F32" s="515"/>
      <c r="G32" s="516"/>
      <c r="H32" s="517"/>
      <c r="I32" s="517"/>
      <c r="J32" s="517"/>
      <c r="K32" s="517"/>
      <c r="L32" s="517"/>
      <c r="M32" s="584">
        <f>SUM(M24:M31)</f>
        <v>0</v>
      </c>
      <c r="N32" s="1242"/>
      <c r="O32" s="525"/>
      <c r="R32" s="525"/>
      <c r="S32" s="546"/>
      <c r="T32" s="384"/>
      <c r="U32" s="384"/>
      <c r="V32" s="525"/>
      <c r="W32" s="928"/>
      <c r="X32" s="23"/>
      <c r="Y32" s="23"/>
      <c r="Z32" s="23"/>
      <c r="AA32" s="23"/>
      <c r="AM32" s="1314"/>
      <c r="AY32" s="513"/>
      <c r="AZ32" s="513"/>
      <c r="BA32" s="513"/>
      <c r="BB32" s="513"/>
      <c r="BC32" s="513"/>
      <c r="BD32" s="513"/>
      <c r="BE32" s="513"/>
      <c r="BF32" s="513"/>
    </row>
    <row r="33" spans="1:58" s="415" customFormat="1" ht="20.100000000000001" customHeight="1">
      <c r="B33" s="418"/>
      <c r="C33" s="493" t="s">
        <v>310</v>
      </c>
      <c r="D33" s="534"/>
      <c r="E33" s="494"/>
      <c r="F33" s="497"/>
      <c r="G33" s="496"/>
      <c r="H33" s="495"/>
      <c r="I33" s="495"/>
      <c r="J33" s="495"/>
      <c r="K33" s="495"/>
      <c r="L33" s="495"/>
      <c r="M33" s="494"/>
      <c r="N33" s="1243"/>
      <c r="O33" s="525"/>
      <c r="R33" s="525"/>
      <c r="S33" s="384"/>
      <c r="T33" s="384"/>
      <c r="U33" s="384"/>
      <c r="V33" s="525"/>
      <c r="W33" s="928"/>
      <c r="X33" s="23"/>
      <c r="Y33" s="23"/>
      <c r="Z33" s="23"/>
      <c r="AA33" s="23"/>
      <c r="AY33" s="513"/>
      <c r="AZ33" s="513"/>
      <c r="BA33" s="513"/>
      <c r="BB33" s="513"/>
      <c r="BC33" s="513"/>
      <c r="BD33" s="513"/>
      <c r="BE33" s="513"/>
      <c r="BF33" s="513"/>
    </row>
    <row r="34" spans="1:58" ht="20.100000000000001" customHeight="1">
      <c r="A34" s="379">
        <v>73</v>
      </c>
      <c r="B34" s="436"/>
      <c r="C34" s="535"/>
      <c r="D34" s="449" t="s">
        <v>311</v>
      </c>
      <c r="E34" s="227" t="s">
        <v>4</v>
      </c>
      <c r="F34" s="328">
        <v>1</v>
      </c>
      <c r="G34" s="328"/>
      <c r="H34" s="228">
        <v>1</v>
      </c>
      <c r="I34" s="284" t="s">
        <v>181</v>
      </c>
      <c r="J34" s="328">
        <v>24</v>
      </c>
      <c r="K34" s="328"/>
      <c r="L34" s="228">
        <v>1</v>
      </c>
      <c r="M34" s="230">
        <f>IF(HOSPITAL,H34,0)+ADPL/J34*L34</f>
        <v>0</v>
      </c>
      <c r="N34" s="1238"/>
      <c r="O34" s="536"/>
      <c r="R34" s="385"/>
      <c r="S34" s="384"/>
      <c r="T34" s="384"/>
      <c r="U34" s="384"/>
      <c r="V34" s="546"/>
      <c r="W34" s="481"/>
      <c r="X34" s="23"/>
      <c r="Y34" s="23"/>
      <c r="Z34" s="23"/>
      <c r="AA34" s="23"/>
      <c r="AY34" s="513"/>
      <c r="AZ34" s="513"/>
      <c r="BA34" s="513"/>
      <c r="BB34" s="513"/>
      <c r="BC34" s="513"/>
      <c r="BD34" s="513"/>
      <c r="BE34" s="513"/>
      <c r="BF34" s="513"/>
    </row>
    <row r="35" spans="1:58" ht="20.100000000000001" customHeight="1" thickBot="1">
      <c r="B35" s="446"/>
      <c r="C35" s="537"/>
      <c r="D35" s="452"/>
      <c r="E35" s="514"/>
      <c r="F35" s="515"/>
      <c r="G35" s="516"/>
      <c r="H35" s="517"/>
      <c r="I35" s="517"/>
      <c r="J35" s="517"/>
      <c r="K35" s="517"/>
      <c r="L35" s="517"/>
      <c r="M35" s="585">
        <f>M34</f>
        <v>0</v>
      </c>
      <c r="N35" s="1242"/>
      <c r="O35" s="536"/>
      <c r="R35" s="1315"/>
      <c r="S35" s="384"/>
      <c r="T35" s="384"/>
      <c r="U35" s="384"/>
      <c r="V35" s="546"/>
      <c r="W35" s="481"/>
      <c r="X35" s="23"/>
      <c r="Y35" s="23"/>
      <c r="Z35" s="23"/>
      <c r="AA35" s="23"/>
      <c r="AY35" s="503"/>
      <c r="AZ35" s="513"/>
      <c r="BA35" s="513"/>
      <c r="BB35" s="513"/>
      <c r="BC35" s="513"/>
      <c r="BD35" s="513"/>
      <c r="BE35" s="513"/>
      <c r="BF35" s="513"/>
    </row>
    <row r="36" spans="1:58" ht="20.100000000000001" customHeight="1">
      <c r="A36" s="415"/>
      <c r="B36" s="418"/>
      <c r="C36" s="493" t="s">
        <v>312</v>
      </c>
      <c r="D36" s="432"/>
      <c r="E36" s="494"/>
      <c r="F36" s="497"/>
      <c r="G36" s="496"/>
      <c r="H36" s="495"/>
      <c r="I36" s="495"/>
      <c r="J36" s="495"/>
      <c r="K36" s="495"/>
      <c r="L36" s="495"/>
      <c r="M36" s="494"/>
      <c r="N36" s="1243"/>
      <c r="O36" s="525"/>
      <c r="R36" s="525"/>
      <c r="S36" s="525"/>
      <c r="T36" s="384"/>
      <c r="U36" s="384"/>
      <c r="V36" s="525"/>
      <c r="W36" s="928"/>
      <c r="X36" s="23"/>
      <c r="Y36" s="23"/>
      <c r="Z36" s="23"/>
      <c r="AA36" s="23"/>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503"/>
      <c r="AZ36" s="513"/>
      <c r="BA36" s="513"/>
      <c r="BB36" s="513"/>
      <c r="BC36" s="513"/>
      <c r="BD36" s="513"/>
      <c r="BE36" s="513"/>
      <c r="BF36" s="513"/>
    </row>
    <row r="37" spans="1:58" ht="20.100000000000001" customHeight="1">
      <c r="A37" s="415">
        <v>195</v>
      </c>
      <c r="B37" s="421"/>
      <c r="C37" s="538"/>
      <c r="D37" s="539" t="s">
        <v>607</v>
      </c>
      <c r="E37" s="541" t="s">
        <v>608</v>
      </c>
      <c r="F37" s="542"/>
      <c r="G37" s="542"/>
      <c r="H37" s="543">
        <v>1</v>
      </c>
      <c r="I37" s="543"/>
      <c r="J37" s="543"/>
      <c r="K37" s="543"/>
      <c r="L37" s="543"/>
      <c r="M37" s="544">
        <f>IF(AND(OR(ALTRURAL,HOSPITAL),ADPL),H37,0)</f>
        <v>0</v>
      </c>
      <c r="N37" s="1240"/>
      <c r="O37" s="525">
        <f>ADPL</f>
        <v>0</v>
      </c>
      <c r="R37" s="525"/>
      <c r="S37" s="525"/>
      <c r="T37" s="384"/>
      <c r="U37" s="384"/>
      <c r="V37" s="525"/>
      <c r="W37" s="928"/>
      <c r="X37" s="23"/>
      <c r="Y37" s="23"/>
      <c r="Z37" s="23"/>
      <c r="AA37" s="23"/>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503"/>
      <c r="AZ37" s="513"/>
      <c r="BA37" s="513"/>
      <c r="BB37" s="513"/>
      <c r="BC37" s="513"/>
      <c r="BD37" s="513"/>
      <c r="BE37" s="513"/>
      <c r="BF37" s="513"/>
    </row>
    <row r="38" spans="1:58" ht="20.100000000000001" customHeight="1">
      <c r="A38" s="379">
        <v>193</v>
      </c>
      <c r="B38" s="436"/>
      <c r="C38" s="535"/>
      <c r="D38" s="183" t="s">
        <v>635</v>
      </c>
      <c r="E38" s="227" t="s">
        <v>181</v>
      </c>
      <c r="F38" s="328"/>
      <c r="G38" s="328">
        <v>1</v>
      </c>
      <c r="H38" s="228">
        <v>20</v>
      </c>
      <c r="I38" s="228"/>
      <c r="J38" s="228"/>
      <c r="K38" s="228"/>
      <c r="L38" s="228"/>
      <c r="M38" s="330">
        <f>IF(OR(ALTRURAL,HOSPITAL),G38,0)+G38*ADPL/H38*(HOSPITAL*ADPL&gt;1)</f>
        <v>0</v>
      </c>
      <c r="N38" s="1240"/>
      <c r="O38" s="385"/>
      <c r="R38" s="385"/>
      <c r="S38" s="546"/>
      <c r="V38" s="1316"/>
      <c r="W38" s="481"/>
      <c r="X38" s="23"/>
      <c r="Y38" s="23"/>
      <c r="Z38" s="23"/>
      <c r="AA38" s="23"/>
      <c r="AY38" s="503"/>
      <c r="AZ38" s="513"/>
      <c r="BA38" s="513"/>
      <c r="BB38" s="513"/>
      <c r="BC38" s="513"/>
      <c r="BD38" s="513"/>
      <c r="BE38" s="513"/>
      <c r="BF38" s="513"/>
    </row>
    <row r="39" spans="1:58" ht="20.100000000000001" customHeight="1">
      <c r="A39" s="379">
        <v>192</v>
      </c>
      <c r="B39" s="1035"/>
      <c r="C39" s="1036"/>
      <c r="D39" s="287" t="s">
        <v>609</v>
      </c>
      <c r="E39" s="357" t="s">
        <v>181</v>
      </c>
      <c r="F39" s="351">
        <v>3</v>
      </c>
      <c r="G39" s="351">
        <v>1</v>
      </c>
      <c r="H39" s="259">
        <v>20</v>
      </c>
      <c r="I39" s="259" t="s">
        <v>4</v>
      </c>
      <c r="J39" s="259"/>
      <c r="K39" s="259"/>
      <c r="L39" s="259">
        <v>30</v>
      </c>
      <c r="M39" s="330">
        <f>IF(OR(ALTRURAL,HOSPITAL),F39,0)+(HOSPITAL*ADPL&gt;1)*((G39*ADPL/H39)+(HOSPITAL*ADPL/L39*ADPL&gt;20))</f>
        <v>0</v>
      </c>
      <c r="N39" s="1241"/>
      <c r="O39" s="385"/>
      <c r="R39" s="385"/>
      <c r="S39" s="546"/>
      <c r="V39" s="1316"/>
      <c r="W39" s="481"/>
      <c r="X39" s="23"/>
      <c r="Y39" s="23"/>
      <c r="Z39" s="23"/>
      <c r="AA39" s="23"/>
      <c r="AY39" s="503"/>
      <c r="AZ39" s="513"/>
      <c r="BA39" s="513"/>
      <c r="BB39" s="513"/>
      <c r="BC39" s="513"/>
      <c r="BD39" s="513"/>
      <c r="BE39" s="513"/>
      <c r="BF39" s="513"/>
    </row>
    <row r="40" spans="1:58" ht="20.100000000000001" customHeight="1">
      <c r="A40" s="379">
        <v>197</v>
      </c>
      <c r="B40" s="1035"/>
      <c r="C40" s="1036"/>
      <c r="D40" s="287" t="s">
        <v>610</v>
      </c>
      <c r="E40" s="357" t="s">
        <v>181</v>
      </c>
      <c r="F40" s="351">
        <v>3</v>
      </c>
      <c r="G40" s="351">
        <v>1</v>
      </c>
      <c r="H40" s="259">
        <v>20</v>
      </c>
      <c r="I40" s="259" t="s">
        <v>4</v>
      </c>
      <c r="J40" s="259"/>
      <c r="K40" s="259"/>
      <c r="L40" s="259">
        <v>20</v>
      </c>
      <c r="M40" s="330">
        <f>IF(OR(ALTRURAL,HOSPITAL),F40,0)+(HOSPITAL*ADPL&gt;1)*((G40*ADPL/H40)+(HOSPITAL*ADPL/L40*ADPL&gt;20))</f>
        <v>0</v>
      </c>
      <c r="N40" s="1241"/>
      <c r="O40" s="385"/>
      <c r="R40" s="385"/>
      <c r="S40" s="546"/>
      <c r="V40" s="1316"/>
      <c r="W40" s="481"/>
      <c r="X40" s="23"/>
      <c r="Y40" s="23"/>
      <c r="Z40" s="23"/>
      <c r="AA40" s="23"/>
      <c r="AY40" s="503"/>
      <c r="AZ40" s="513"/>
      <c r="BA40" s="513"/>
      <c r="BB40" s="513"/>
      <c r="BC40" s="513"/>
      <c r="BD40" s="513"/>
      <c r="BE40" s="513"/>
      <c r="BF40" s="513"/>
    </row>
    <row r="41" spans="1:58" ht="20.100000000000001" customHeight="1">
      <c r="A41" s="379">
        <v>196</v>
      </c>
      <c r="B41" s="1035"/>
      <c r="C41" s="1036"/>
      <c r="D41" s="287" t="s">
        <v>611</v>
      </c>
      <c r="E41" s="541" t="s">
        <v>608</v>
      </c>
      <c r="F41" s="542"/>
      <c r="G41" s="542"/>
      <c r="H41" s="543">
        <v>1</v>
      </c>
      <c r="I41" s="543"/>
      <c r="J41" s="543"/>
      <c r="K41" s="543"/>
      <c r="L41" s="543"/>
      <c r="M41" s="544">
        <f>(OR(ALTRURAL,HOSPITAL)*ADPL&gt;=H41)*H41</f>
        <v>0</v>
      </c>
      <c r="N41" s="1241"/>
      <c r="O41" s="385"/>
      <c r="R41" s="385"/>
      <c r="S41" s="546"/>
      <c r="V41" s="1316"/>
      <c r="W41" s="481"/>
      <c r="X41" s="23"/>
      <c r="Y41" s="23"/>
      <c r="Z41" s="23"/>
      <c r="AA41" s="23"/>
      <c r="AY41" s="503"/>
      <c r="AZ41" s="513"/>
      <c r="BA41" s="513"/>
      <c r="BB41" s="513"/>
      <c r="BC41" s="513"/>
      <c r="BD41" s="513"/>
      <c r="BE41" s="513"/>
      <c r="BF41" s="513"/>
    </row>
    <row r="42" spans="1:58" ht="20.100000000000001" customHeight="1">
      <c r="A42" s="379">
        <v>191</v>
      </c>
      <c r="B42" s="1035"/>
      <c r="C42" s="1036"/>
      <c r="D42" s="287" t="s">
        <v>612</v>
      </c>
      <c r="E42" s="357" t="s">
        <v>613</v>
      </c>
      <c r="F42" s="351"/>
      <c r="G42" s="351">
        <v>1</v>
      </c>
      <c r="H42" s="259">
        <v>20</v>
      </c>
      <c r="I42" s="259"/>
      <c r="J42" s="259"/>
      <c r="K42" s="259"/>
      <c r="L42" s="259"/>
      <c r="M42" s="1037">
        <f>(ADPL&gt;H42)*G42*OR(ALTRURAL,HOSPITAL)</f>
        <v>0</v>
      </c>
      <c r="N42" s="1241"/>
      <c r="O42" s="385"/>
      <c r="R42" s="385"/>
      <c r="S42" s="546"/>
      <c r="V42" s="1316"/>
      <c r="W42" s="481"/>
      <c r="X42" s="23"/>
      <c r="Y42" s="23"/>
      <c r="Z42" s="23"/>
      <c r="AA42" s="23"/>
      <c r="AY42" s="503"/>
      <c r="AZ42" s="513"/>
      <c r="BA42" s="513"/>
      <c r="BB42" s="513"/>
      <c r="BC42" s="513"/>
      <c r="BD42" s="513"/>
      <c r="BE42" s="513"/>
      <c r="BF42" s="513"/>
    </row>
    <row r="43" spans="1:58" ht="20.100000000000001" customHeight="1">
      <c r="A43" s="379">
        <v>194</v>
      </c>
      <c r="B43" s="1035"/>
      <c r="C43" s="1036"/>
      <c r="D43" s="287" t="s">
        <v>636</v>
      </c>
      <c r="E43" s="357" t="s">
        <v>4</v>
      </c>
      <c r="F43" s="351">
        <v>20</v>
      </c>
      <c r="G43" s="351">
        <v>1</v>
      </c>
      <c r="H43" s="259">
        <v>40</v>
      </c>
      <c r="I43" s="259"/>
      <c r="J43" s="259"/>
      <c r="K43" s="259"/>
      <c r="L43" s="259"/>
      <c r="M43" s="1037">
        <f>(ADPL&gt;F43)*Q2*ADPL/H43*G43</f>
        <v>0</v>
      </c>
      <c r="N43" s="1241"/>
      <c r="O43" s="385"/>
      <c r="R43" s="385"/>
      <c r="S43" s="546"/>
      <c r="V43" s="1316"/>
      <c r="W43" s="481"/>
      <c r="X43" s="23"/>
      <c r="Y43" s="23"/>
      <c r="Z43" s="23"/>
      <c r="AA43" s="23"/>
      <c r="AY43" s="503"/>
      <c r="AZ43" s="513"/>
      <c r="BA43" s="513"/>
      <c r="BB43" s="513"/>
      <c r="BC43" s="513"/>
      <c r="BD43" s="513"/>
      <c r="BE43" s="513"/>
      <c r="BF43" s="513"/>
    </row>
    <row r="44" spans="1:58" ht="20.100000000000001" customHeight="1" thickBot="1">
      <c r="B44" s="446"/>
      <c r="C44" s="537"/>
      <c r="D44" s="234"/>
      <c r="E44" s="514"/>
      <c r="F44" s="515"/>
      <c r="G44" s="516"/>
      <c r="H44" s="517"/>
      <c r="I44" s="517"/>
      <c r="J44" s="517"/>
      <c r="K44" s="517"/>
      <c r="L44" s="517"/>
      <c r="M44" s="585">
        <f>SUM(M37:M43)</f>
        <v>0</v>
      </c>
      <c r="N44" s="1242"/>
      <c r="O44" s="385"/>
      <c r="R44" s="385"/>
      <c r="S44" s="546"/>
      <c r="V44" s="1316"/>
      <c r="W44" s="481"/>
      <c r="X44" s="23"/>
      <c r="Y44" s="23"/>
      <c r="Z44" s="23"/>
      <c r="AA44" s="23"/>
      <c r="AY44" s="503"/>
      <c r="AZ44" s="513"/>
      <c r="BA44" s="513"/>
      <c r="BB44" s="513"/>
      <c r="BC44" s="513"/>
      <c r="BD44" s="513"/>
      <c r="BE44" s="513"/>
      <c r="BF44" s="513"/>
    </row>
    <row r="45" spans="1:58" ht="20.100000000000001" customHeight="1">
      <c r="A45" s="415"/>
      <c r="B45" s="264"/>
      <c r="C45" s="493" t="s">
        <v>614</v>
      </c>
      <c r="D45" s="432"/>
      <c r="E45" s="494"/>
      <c r="F45" s="497"/>
      <c r="G45" s="496"/>
      <c r="H45" s="495"/>
      <c r="I45" s="495"/>
      <c r="J45" s="495"/>
      <c r="K45" s="495"/>
      <c r="L45" s="495"/>
      <c r="M45" s="494"/>
      <c r="N45" s="1243"/>
      <c r="O45" s="525"/>
      <c r="R45" s="525"/>
      <c r="S45" s="525"/>
      <c r="T45" s="1313"/>
      <c r="U45" s="1313"/>
      <c r="V45" s="525"/>
      <c r="W45" s="928"/>
      <c r="X45" s="1064"/>
      <c r="Y45" s="1064"/>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5"/>
      <c r="AY45" s="503"/>
      <c r="AZ45" s="513"/>
      <c r="BA45" s="513"/>
      <c r="BB45" s="513"/>
      <c r="BC45" s="513"/>
      <c r="BD45" s="513"/>
      <c r="BE45" s="513"/>
      <c r="BF45" s="513"/>
    </row>
    <row r="46" spans="1:58" s="415" customFormat="1" ht="20.100000000000001" customHeight="1" thickBot="1">
      <c r="A46" s="379">
        <v>75</v>
      </c>
      <c r="B46" s="446"/>
      <c r="C46" s="537"/>
      <c r="D46" s="234" t="s">
        <v>313</v>
      </c>
      <c r="E46" s="237" t="s">
        <v>314</v>
      </c>
      <c r="F46" s="340">
        <v>75</v>
      </c>
      <c r="G46" s="340"/>
      <c r="H46" s="236">
        <v>1</v>
      </c>
      <c r="I46" s="236"/>
      <c r="J46" s="236"/>
      <c r="K46" s="236"/>
      <c r="L46" s="236"/>
      <c r="M46" s="585">
        <f ca="1">FTE_FTE_Calc/F46*H46*(FAC_INFO_FAC_TYPE&lt;&gt;1)</f>
        <v>0</v>
      </c>
      <c r="N46" s="1242"/>
      <c r="O46" s="546"/>
      <c r="R46" s="546"/>
      <c r="S46" s="546"/>
      <c r="T46" s="385"/>
      <c r="U46" s="385"/>
      <c r="V46" s="1317"/>
      <c r="W46" s="481"/>
      <c r="X46" s="384"/>
      <c r="Y46" s="384"/>
      <c r="Z46" s="379"/>
      <c r="AA46" s="379"/>
      <c r="AB46" s="379"/>
      <c r="AC46" s="379"/>
      <c r="AD46" s="379"/>
      <c r="AE46" s="379"/>
      <c r="AF46" s="379"/>
      <c r="AG46" s="379"/>
      <c r="AH46" s="379"/>
      <c r="AI46" s="379"/>
      <c r="AJ46" s="379"/>
      <c r="AK46" s="379"/>
      <c r="AL46" s="379"/>
      <c r="AM46" s="379"/>
      <c r="AN46" s="379"/>
      <c r="AO46" s="379"/>
      <c r="AP46" s="379"/>
      <c r="AQ46" s="379"/>
      <c r="AR46" s="379"/>
      <c r="AS46" s="379"/>
      <c r="AT46" s="379"/>
      <c r="AU46" s="379"/>
      <c r="AV46" s="379"/>
      <c r="AW46" s="379"/>
      <c r="AX46" s="379"/>
      <c r="AY46" s="503"/>
      <c r="AZ46" s="513"/>
      <c r="BA46" s="513"/>
      <c r="BB46" s="513"/>
      <c r="BC46" s="513"/>
      <c r="BD46" s="513"/>
      <c r="BE46" s="513"/>
      <c r="BF46" s="513"/>
    </row>
    <row r="47" spans="1:58" ht="20.100000000000001" customHeight="1">
      <c r="A47" s="415"/>
      <c r="B47" s="264"/>
      <c r="C47" s="493" t="s">
        <v>315</v>
      </c>
      <c r="D47" s="432"/>
      <c r="E47" s="547"/>
      <c r="F47" s="496"/>
      <c r="G47" s="496"/>
      <c r="H47" s="548"/>
      <c r="I47" s="548"/>
      <c r="J47" s="548"/>
      <c r="K47" s="548"/>
      <c r="L47" s="548"/>
      <c r="M47" s="494"/>
      <c r="N47" s="1243"/>
      <c r="O47" s="525"/>
      <c r="S47" s="384"/>
      <c r="T47" s="384"/>
      <c r="U47" s="384"/>
      <c r="V47" s="384"/>
      <c r="W47" s="928"/>
      <c r="X47" s="1064"/>
      <c r="Y47" s="1064"/>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503"/>
      <c r="AZ47" s="513"/>
      <c r="BA47" s="513"/>
      <c r="BB47" s="513"/>
      <c r="BC47" s="513"/>
      <c r="BD47" s="513"/>
      <c r="BE47" s="513"/>
      <c r="BF47" s="513"/>
    </row>
    <row r="48" spans="1:58" ht="20.100000000000001" customHeight="1">
      <c r="A48" s="379">
        <v>228</v>
      </c>
      <c r="B48" s="436"/>
      <c r="C48" s="226"/>
      <c r="D48" s="183" t="s">
        <v>316</v>
      </c>
      <c r="E48" s="229" t="s">
        <v>314</v>
      </c>
      <c r="F48" s="328">
        <v>100</v>
      </c>
      <c r="G48" s="328"/>
      <c r="H48" s="228">
        <v>0.33</v>
      </c>
      <c r="I48" s="228"/>
      <c r="J48" s="228"/>
      <c r="K48" s="228"/>
      <c r="L48" s="228"/>
      <c r="M48" s="230">
        <f ca="1">FTE_FTE_Calc/F48*H48</f>
        <v>0</v>
      </c>
      <c r="N48" s="1238"/>
      <c r="O48" s="546"/>
      <c r="S48" s="384"/>
      <c r="T48" s="384"/>
      <c r="U48" s="384"/>
      <c r="V48" s="384"/>
      <c r="W48" s="481"/>
      <c r="Y48" s="23"/>
      <c r="Z48" s="23"/>
      <c r="AA48" s="23"/>
      <c r="AY48" s="503"/>
      <c r="AZ48" s="513"/>
      <c r="BA48" s="513"/>
      <c r="BB48" s="513"/>
      <c r="BC48" s="513"/>
      <c r="BD48" s="513"/>
      <c r="BE48" s="513"/>
      <c r="BF48" s="513"/>
    </row>
    <row r="49" spans="1:58" s="415" customFormat="1" ht="20.100000000000001" customHeight="1">
      <c r="A49" s="379">
        <v>226</v>
      </c>
      <c r="B49" s="436"/>
      <c r="C49" s="226"/>
      <c r="D49" s="449" t="s">
        <v>165</v>
      </c>
      <c r="E49" s="229" t="s">
        <v>314</v>
      </c>
      <c r="F49" s="328">
        <v>100</v>
      </c>
      <c r="G49" s="328"/>
      <c r="H49" s="228">
        <v>0.25</v>
      </c>
      <c r="I49" s="228"/>
      <c r="J49" s="228"/>
      <c r="K49" s="228"/>
      <c r="L49" s="228"/>
      <c r="M49" s="230">
        <f ca="1">FTE_FTE_Calc/F49*H49</f>
        <v>0</v>
      </c>
      <c r="N49" s="1238"/>
      <c r="O49" s="546"/>
      <c r="R49" s="384"/>
      <c r="S49" s="384"/>
      <c r="T49" s="384"/>
      <c r="U49" s="384"/>
      <c r="V49" s="384"/>
      <c r="W49" s="481"/>
      <c r="X49" s="384"/>
      <c r="Y49" s="23"/>
      <c r="Z49" s="23"/>
      <c r="AA49" s="23"/>
      <c r="AB49" s="379"/>
      <c r="AC49" s="379"/>
      <c r="AD49" s="379"/>
      <c r="AE49" s="379"/>
      <c r="AF49" s="379"/>
      <c r="AG49" s="379"/>
      <c r="AH49" s="379"/>
      <c r="AI49" s="379"/>
      <c r="AJ49" s="379"/>
      <c r="AK49" s="379"/>
      <c r="AL49" s="379"/>
      <c r="AM49" s="379"/>
      <c r="AN49" s="379"/>
      <c r="AO49" s="379"/>
      <c r="AP49" s="379"/>
      <c r="AQ49" s="379"/>
      <c r="AR49" s="379"/>
      <c r="AS49" s="379"/>
      <c r="AT49" s="379"/>
      <c r="AU49" s="379"/>
      <c r="AV49" s="379"/>
      <c r="AW49" s="379"/>
      <c r="AX49" s="379"/>
      <c r="AY49" s="503"/>
      <c r="AZ49" s="513"/>
      <c r="BA49" s="513"/>
      <c r="BB49" s="513"/>
      <c r="BC49" s="513"/>
      <c r="BD49" s="513"/>
      <c r="BE49" s="513"/>
      <c r="BF49" s="513"/>
    </row>
    <row r="50" spans="1:58" ht="20.100000000000001" customHeight="1" thickBot="1">
      <c r="B50" s="446"/>
      <c r="C50" s="234"/>
      <c r="D50" s="234"/>
      <c r="E50" s="514"/>
      <c r="F50" s="515"/>
      <c r="G50" s="516"/>
      <c r="H50" s="517"/>
      <c r="I50" s="517"/>
      <c r="J50" s="517"/>
      <c r="K50" s="517"/>
      <c r="L50" s="517"/>
      <c r="M50" s="584">
        <f ca="1">SUM(M48:M49)</f>
        <v>0</v>
      </c>
      <c r="N50" s="1242"/>
      <c r="O50" s="549"/>
      <c r="S50" s="384"/>
      <c r="T50" s="384"/>
      <c r="U50" s="384"/>
      <c r="V50" s="384"/>
      <c r="W50" s="481"/>
    </row>
    <row r="51" spans="1:58" ht="20.100000000000001" customHeight="1">
      <c r="B51" s="418"/>
      <c r="C51" s="519" t="s">
        <v>494</v>
      </c>
      <c r="D51" s="432"/>
      <c r="E51" s="494"/>
      <c r="F51" s="497"/>
      <c r="G51" s="496"/>
      <c r="H51" s="495"/>
      <c r="I51" s="495"/>
      <c r="J51" s="495"/>
      <c r="K51" s="495"/>
      <c r="L51" s="495"/>
      <c r="M51" s="495"/>
      <c r="N51" s="498"/>
      <c r="O51" s="546"/>
      <c r="S51" s="384"/>
      <c r="T51" s="384"/>
      <c r="U51" s="384"/>
      <c r="V51" s="384"/>
      <c r="AP51" s="23"/>
      <c r="AQ51" s="23"/>
      <c r="AR51" s="23"/>
      <c r="AS51" s="23"/>
      <c r="AT51" s="23"/>
      <c r="AU51" s="23"/>
      <c r="AV51" s="23"/>
      <c r="AW51" s="23"/>
      <c r="AX51" s="23"/>
      <c r="AY51" s="23"/>
      <c r="AZ51" s="23"/>
      <c r="BA51" s="23"/>
      <c r="BB51" s="565"/>
      <c r="BC51" s="565"/>
    </row>
    <row r="52" spans="1:58" ht="20.100000000000001" customHeight="1">
      <c r="A52" s="379">
        <v>321</v>
      </c>
      <c r="B52" s="421"/>
      <c r="C52" s="479"/>
      <c r="D52" s="449" t="s">
        <v>495</v>
      </c>
      <c r="E52" s="349" t="s">
        <v>293</v>
      </c>
      <c r="F52" s="328">
        <v>9300</v>
      </c>
      <c r="G52" s="505"/>
      <c r="H52" s="228">
        <v>3</v>
      </c>
      <c r="I52" s="349" t="s">
        <v>524</v>
      </c>
      <c r="J52" s="347">
        <v>9300</v>
      </c>
      <c r="K52" s="542"/>
      <c r="L52" s="348">
        <v>2</v>
      </c>
      <c r="M52" s="604">
        <f>IF(Security_24=1,FAC_INFO_TREATMENT_SPACE/F52*H52,FAC_INFO_TREATMENT_SPACE/J52*L52)</f>
        <v>0</v>
      </c>
      <c r="N52" s="1225">
        <f ca="1">-M57-M58</f>
        <v>0</v>
      </c>
      <c r="O52" s="546"/>
      <c r="S52" s="384"/>
      <c r="T52" s="384"/>
      <c r="U52" s="384"/>
      <c r="V52" s="384"/>
      <c r="AP52" s="23"/>
      <c r="AQ52" s="23"/>
      <c r="AR52" s="23"/>
      <c r="AS52" s="23"/>
      <c r="AT52" s="23"/>
      <c r="AU52" s="23"/>
      <c r="AV52" s="23"/>
      <c r="AW52" s="23"/>
      <c r="AX52" s="23"/>
      <c r="AY52" s="23"/>
      <c r="AZ52" s="23"/>
      <c r="BA52" s="23"/>
      <c r="BB52" s="565"/>
      <c r="BC52" s="565"/>
    </row>
    <row r="53" spans="1:58" ht="20.100000000000001" customHeight="1">
      <c r="B53" s="421"/>
      <c r="C53" s="479"/>
      <c r="D53" s="449" t="s">
        <v>495</v>
      </c>
      <c r="E53" s="227" t="s">
        <v>496</v>
      </c>
      <c r="F53" s="328">
        <v>500</v>
      </c>
      <c r="G53" s="505"/>
      <c r="H53" s="919">
        <v>1</v>
      </c>
      <c r="I53" s="349" t="s">
        <v>314</v>
      </c>
      <c r="J53" s="347">
        <v>4</v>
      </c>
      <c r="K53" s="542"/>
      <c r="L53" s="348">
        <v>3</v>
      </c>
      <c r="M53" s="604">
        <f ca="1">Security_24*(OPV/F53+FTE_FTE_Calc/J53*L53)/250</f>
        <v>0</v>
      </c>
      <c r="N53" s="1240"/>
      <c r="O53" s="546"/>
      <c r="S53" s="384"/>
      <c r="T53" s="384"/>
      <c r="U53" s="384"/>
      <c r="V53" s="384"/>
      <c r="AP53" s="23"/>
      <c r="AQ53" s="23"/>
      <c r="AR53" s="23"/>
      <c r="AS53" s="23"/>
      <c r="AT53" s="23"/>
      <c r="AU53" s="23"/>
      <c r="AV53" s="23"/>
      <c r="AW53" s="23"/>
      <c r="AX53" s="23"/>
      <c r="AY53" s="23"/>
      <c r="AZ53" s="23"/>
      <c r="BA53" s="23"/>
      <c r="BB53" s="565"/>
      <c r="BC53" s="565"/>
    </row>
    <row r="54" spans="1:58" ht="20.100000000000001" customHeight="1">
      <c r="B54" s="421"/>
      <c r="C54" s="479"/>
      <c r="D54" s="449" t="s">
        <v>495</v>
      </c>
      <c r="E54" s="227" t="s">
        <v>497</v>
      </c>
      <c r="F54" s="328">
        <v>275</v>
      </c>
      <c r="G54" s="505"/>
      <c r="H54" s="228">
        <v>1</v>
      </c>
      <c r="I54" s="214" t="s">
        <v>304</v>
      </c>
      <c r="J54" s="231">
        <v>25000</v>
      </c>
      <c r="K54" s="505">
        <v>95</v>
      </c>
      <c r="L54" s="213">
        <v>1</v>
      </c>
      <c r="M54" s="523">
        <f>Security_24*('Inpatient Workload'!E26/F54*H54+FAC_INFO_Dental/J54*L54*K54)/250</f>
        <v>0</v>
      </c>
      <c r="N54" s="1240"/>
      <c r="O54" s="546"/>
      <c r="S54" s="384"/>
      <c r="T54" s="384"/>
      <c r="U54" s="384"/>
      <c r="V54" s="384"/>
      <c r="AP54" s="23"/>
      <c r="AQ54" s="23"/>
      <c r="AR54" s="23"/>
      <c r="AS54" s="23"/>
      <c r="AT54" s="23"/>
      <c r="AU54" s="23"/>
      <c r="AV54" s="23"/>
      <c r="AW54" s="23"/>
      <c r="AX54" s="23"/>
      <c r="AY54" s="23"/>
      <c r="AZ54" s="23"/>
      <c r="BA54" s="23"/>
      <c r="BB54" s="565"/>
      <c r="BC54" s="565"/>
    </row>
    <row r="55" spans="1:58" ht="20.100000000000001" customHeight="1">
      <c r="B55" s="421"/>
      <c r="C55" s="479"/>
      <c r="D55" s="449" t="s">
        <v>495</v>
      </c>
      <c r="E55" s="227" t="s">
        <v>498</v>
      </c>
      <c r="F55" s="328">
        <v>500</v>
      </c>
      <c r="G55" s="931">
        <f>'Facility Info'!E20</f>
        <v>0</v>
      </c>
      <c r="H55" s="228">
        <v>1</v>
      </c>
      <c r="I55" s="349" t="s">
        <v>499</v>
      </c>
      <c r="J55" s="347">
        <v>100</v>
      </c>
      <c r="K55" s="542"/>
      <c r="L55" s="348">
        <v>1</v>
      </c>
      <c r="M55" s="604">
        <f>Security_24*G55/F55*H55+FAC_INFO_NO_OF_QUARTERS/J55</f>
        <v>0</v>
      </c>
      <c r="N55" s="1240"/>
      <c r="O55" s="546"/>
      <c r="S55" s="384"/>
      <c r="T55" s="384"/>
      <c r="U55" s="384"/>
      <c r="V55" s="384"/>
      <c r="AP55" s="23"/>
      <c r="AQ55" s="23"/>
      <c r="AR55" s="23"/>
      <c r="AS55" s="23"/>
      <c r="AT55" s="23"/>
      <c r="AU55" s="23"/>
      <c r="AV55" s="23"/>
      <c r="AW55" s="23"/>
      <c r="AX55" s="23"/>
      <c r="AY55" s="23"/>
      <c r="AZ55" s="23"/>
      <c r="BA55" s="23"/>
      <c r="BB55" s="565"/>
      <c r="BC55" s="565"/>
    </row>
    <row r="56" spans="1:58" ht="20.100000000000001" customHeight="1">
      <c r="B56" s="421"/>
      <c r="C56" s="479"/>
      <c r="D56" s="449" t="s">
        <v>495</v>
      </c>
      <c r="E56" s="227" t="s">
        <v>124</v>
      </c>
      <c r="F56" s="328">
        <v>150</v>
      </c>
      <c r="G56" s="505">
        <v>365</v>
      </c>
      <c r="H56" s="228">
        <v>4</v>
      </c>
      <c r="I56" s="349"/>
      <c r="J56" s="347"/>
      <c r="K56" s="542"/>
      <c r="L56" s="348"/>
      <c r="M56" s="604">
        <f>Security_24*'Outpatient Workload'!D32/F56/G56*H56</f>
        <v>0</v>
      </c>
      <c r="N56" s="1240"/>
      <c r="O56" s="546"/>
      <c r="S56" s="384"/>
      <c r="T56" s="384"/>
      <c r="U56" s="384"/>
      <c r="V56" s="384"/>
      <c r="AP56" s="23"/>
      <c r="AQ56" s="23"/>
      <c r="AR56" s="23"/>
      <c r="AS56" s="23"/>
      <c r="AT56" s="23"/>
      <c r="AU56" s="23"/>
      <c r="AV56" s="23"/>
      <c r="AW56" s="23"/>
      <c r="AX56" s="23"/>
      <c r="AY56" s="23"/>
      <c r="AZ56" s="23"/>
      <c r="BA56" s="23"/>
      <c r="BB56" s="565"/>
      <c r="BC56" s="565"/>
    </row>
    <row r="57" spans="1:58" ht="20.100000000000001" customHeight="1">
      <c r="A57" s="379">
        <v>322</v>
      </c>
      <c r="B57" s="421"/>
      <c r="C57" s="479"/>
      <c r="D57" s="449" t="s">
        <v>790</v>
      </c>
      <c r="E57" s="349" t="s">
        <v>792</v>
      </c>
      <c r="F57" s="328"/>
      <c r="G57" s="505"/>
      <c r="H57" s="228"/>
      <c r="I57" s="349" t="s">
        <v>495</v>
      </c>
      <c r="J57" s="347"/>
      <c r="K57" s="542">
        <v>10</v>
      </c>
      <c r="L57" s="348">
        <v>1</v>
      </c>
      <c r="M57" s="604">
        <f ca="1">IF(SUM(M52:M56)&gt;=K57,L57,0)</f>
        <v>0</v>
      </c>
      <c r="N57" s="1240"/>
      <c r="O57" s="546"/>
      <c r="S57" s="384"/>
      <c r="T57" s="384"/>
      <c r="U57" s="384"/>
      <c r="V57" s="384"/>
      <c r="AP57" s="23"/>
      <c r="AQ57" s="23"/>
      <c r="AR57" s="23"/>
      <c r="AS57" s="23"/>
      <c r="AT57" s="23"/>
      <c r="AU57" s="23"/>
      <c r="AV57" s="23"/>
      <c r="AW57" s="23"/>
      <c r="AX57" s="23"/>
      <c r="AY57" s="23"/>
      <c r="AZ57" s="23"/>
      <c r="BA57" s="23"/>
      <c r="BB57" s="565"/>
      <c r="BC57" s="565"/>
    </row>
    <row r="58" spans="1:58" ht="20.100000000000001" customHeight="1">
      <c r="A58" s="379">
        <v>323</v>
      </c>
      <c r="B58" s="421"/>
      <c r="C58" s="479"/>
      <c r="D58" s="449" t="s">
        <v>791</v>
      </c>
      <c r="E58" s="349" t="s">
        <v>792</v>
      </c>
      <c r="F58" s="328"/>
      <c r="G58" s="505"/>
      <c r="H58" s="228"/>
      <c r="I58" s="349" t="s">
        <v>495</v>
      </c>
      <c r="J58" s="347"/>
      <c r="K58" s="542">
        <v>10</v>
      </c>
      <c r="L58" s="348">
        <v>1</v>
      </c>
      <c r="M58" s="604">
        <f ca="1">IF(SUM(M52:M56)&gt;=K58,L58,0)</f>
        <v>0</v>
      </c>
      <c r="N58" s="1240"/>
      <c r="O58" s="546"/>
      <c r="S58" s="384"/>
      <c r="T58" s="384"/>
      <c r="U58" s="384"/>
      <c r="V58" s="384"/>
      <c r="AP58" s="23"/>
      <c r="AQ58" s="23"/>
      <c r="AR58" s="23"/>
      <c r="AS58" s="23"/>
      <c r="AT58" s="23"/>
      <c r="AU58" s="23"/>
      <c r="AV58" s="23"/>
      <c r="AW58" s="23"/>
      <c r="AX58" s="23"/>
      <c r="AY58" s="23"/>
      <c r="AZ58" s="23"/>
      <c r="BA58" s="23"/>
      <c r="BB58" s="565"/>
      <c r="BC58" s="565"/>
    </row>
    <row r="59" spans="1:58" ht="20.100000000000001" customHeight="1" thickBot="1">
      <c r="B59" s="446"/>
      <c r="C59" s="235"/>
      <c r="D59" s="452"/>
      <c r="E59" s="514"/>
      <c r="F59" s="515"/>
      <c r="G59" s="516"/>
      <c r="H59" s="517"/>
      <c r="I59" s="517"/>
      <c r="J59" s="517"/>
      <c r="K59" s="517"/>
      <c r="L59" s="517"/>
      <c r="M59" s="584">
        <f ca="1">SUM(M52:M58)+N52</f>
        <v>0</v>
      </c>
      <c r="N59" s="518"/>
      <c r="O59" s="481"/>
      <c r="P59" s="546"/>
      <c r="S59" s="384"/>
      <c r="T59" s="384"/>
      <c r="U59" s="384"/>
      <c r="V59" s="384"/>
      <c r="AP59" s="23"/>
      <c r="AQ59" s="23"/>
      <c r="AR59" s="23"/>
      <c r="AS59" s="23"/>
      <c r="AT59" s="23"/>
      <c r="AU59" s="23"/>
      <c r="AV59" s="23"/>
      <c r="AW59" s="23"/>
      <c r="AX59" s="23"/>
      <c r="AY59" s="23"/>
      <c r="AZ59" s="23"/>
      <c r="BA59" s="23"/>
      <c r="BB59" s="565"/>
      <c r="BC59" s="565"/>
    </row>
    <row r="60" spans="1:58" ht="20.100000000000001" customHeight="1">
      <c r="A60" s="415"/>
      <c r="B60" s="264"/>
      <c r="C60" s="493" t="s">
        <v>500</v>
      </c>
      <c r="D60" s="432"/>
      <c r="E60" s="494"/>
      <c r="F60" s="497"/>
      <c r="G60" s="496"/>
      <c r="H60" s="495"/>
      <c r="I60" s="495"/>
      <c r="J60" s="495"/>
      <c r="K60" s="495"/>
      <c r="L60" s="495"/>
      <c r="M60" s="494"/>
      <c r="N60" s="498"/>
      <c r="O60" s="525"/>
      <c r="R60" s="525"/>
      <c r="S60" s="525"/>
      <c r="T60" s="1313"/>
      <c r="U60" s="1313"/>
      <c r="V60" s="525"/>
      <c r="W60" s="928"/>
      <c r="X60" s="1064"/>
      <c r="Y60" s="1064"/>
      <c r="Z60" s="415"/>
      <c r="AA60" s="415"/>
      <c r="AB60" s="415"/>
      <c r="AC60" s="415"/>
      <c r="AD60" s="415"/>
      <c r="AE60" s="415"/>
      <c r="AF60" s="415"/>
      <c r="AG60" s="415"/>
      <c r="AH60" s="415"/>
      <c r="AI60" s="415"/>
      <c r="AJ60" s="415"/>
      <c r="AK60" s="415"/>
      <c r="AL60" s="415"/>
      <c r="AM60" s="415"/>
      <c r="AN60" s="415"/>
      <c r="AO60" s="415"/>
      <c r="AP60" s="415"/>
      <c r="AQ60" s="415"/>
      <c r="AR60" s="415"/>
      <c r="AS60" s="415"/>
      <c r="AT60" s="415"/>
      <c r="AU60" s="415"/>
      <c r="AV60" s="415"/>
      <c r="AW60" s="415"/>
      <c r="AX60" s="415"/>
      <c r="AY60" s="503"/>
      <c r="AZ60" s="513"/>
      <c r="BA60" s="513"/>
      <c r="BB60" s="513"/>
      <c r="BC60" s="513"/>
      <c r="BD60" s="513"/>
      <c r="BE60" s="513"/>
      <c r="BF60" s="513"/>
    </row>
    <row r="61" spans="1:58" s="415" customFormat="1" ht="20.100000000000001" customHeight="1" thickBot="1">
      <c r="A61" s="379">
        <v>425</v>
      </c>
      <c r="B61" s="446"/>
      <c r="C61" s="537"/>
      <c r="D61" s="234" t="s">
        <v>502</v>
      </c>
      <c r="E61" s="237" t="s">
        <v>220</v>
      </c>
      <c r="F61" s="340">
        <v>10000</v>
      </c>
      <c r="G61" s="340">
        <v>0</v>
      </c>
      <c r="H61" s="236">
        <v>0.3</v>
      </c>
      <c r="I61" s="236"/>
      <c r="J61" s="236"/>
      <c r="K61" s="236"/>
      <c r="L61" s="236"/>
      <c r="M61" s="585">
        <f>'Outpatient Workload'!$D$9/F61*H61</f>
        <v>0</v>
      </c>
      <c r="N61" s="518"/>
      <c r="O61" s="546"/>
      <c r="R61" s="546"/>
      <c r="S61" s="546"/>
      <c r="T61" s="385"/>
      <c r="U61" s="385"/>
      <c r="V61" s="1317"/>
      <c r="W61" s="481"/>
      <c r="X61" s="384"/>
      <c r="Y61" s="384"/>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79"/>
      <c r="AY61" s="503"/>
      <c r="AZ61" s="513"/>
      <c r="BA61" s="513"/>
      <c r="BB61" s="513"/>
      <c r="BC61" s="513"/>
      <c r="BD61" s="513"/>
      <c r="BE61" s="513"/>
      <c r="BF61" s="513"/>
    </row>
    <row r="62" spans="1:58" ht="19.5" customHeight="1" thickBot="1">
      <c r="B62" s="1835"/>
      <c r="C62" s="289"/>
      <c r="D62" s="290"/>
      <c r="E62" s="1836"/>
      <c r="F62" s="1837"/>
      <c r="G62" s="1837"/>
      <c r="H62" s="1838"/>
      <c r="I62" s="1838"/>
      <c r="J62" s="1838"/>
      <c r="K62" s="1838"/>
      <c r="L62" s="1838"/>
      <c r="M62" s="1839"/>
      <c r="N62" s="1840"/>
      <c r="P62" s="1841"/>
      <c r="Q62" s="1842"/>
      <c r="R62" s="1843"/>
      <c r="S62" s="1843"/>
      <c r="T62" s="1843"/>
      <c r="U62" s="1843"/>
      <c r="V62" s="1843"/>
      <c r="W62" s="379"/>
      <c r="X62" s="379"/>
      <c r="Y62" s="379"/>
    </row>
    <row r="63" spans="1:58" ht="19.5" customHeight="1">
      <c r="B63" s="1844"/>
      <c r="C63" s="292" t="s">
        <v>1030</v>
      </c>
      <c r="D63" s="293"/>
      <c r="E63" s="1845"/>
      <c r="F63" s="1846"/>
      <c r="G63" s="1846"/>
      <c r="H63" s="1845"/>
      <c r="I63" s="1845"/>
      <c r="J63" s="1845"/>
      <c r="K63" s="1845"/>
      <c r="L63" s="1845"/>
      <c r="M63" s="1845"/>
      <c r="N63" s="1847"/>
      <c r="P63" s="1848"/>
      <c r="Q63" s="1849"/>
      <c r="R63" s="1843"/>
      <c r="S63" s="1843"/>
      <c r="T63" s="1843"/>
      <c r="U63" s="1843"/>
      <c r="V63" s="1843"/>
      <c r="W63" s="379"/>
      <c r="X63" s="379"/>
      <c r="Y63" s="379"/>
    </row>
    <row r="64" spans="1:58" ht="19.5" customHeight="1">
      <c r="B64" s="1850"/>
      <c r="C64" s="267"/>
      <c r="D64" s="295" t="s">
        <v>1019</v>
      </c>
      <c r="E64" s="1782"/>
      <c r="F64" s="1783"/>
      <c r="G64" s="1784"/>
      <c r="H64" s="1783"/>
      <c r="I64" s="1783"/>
      <c r="J64" s="1783"/>
      <c r="K64" s="1783"/>
      <c r="L64" s="1783"/>
      <c r="M64" s="1794">
        <v>0</v>
      </c>
      <c r="N64" s="1851"/>
      <c r="P64" s="1848"/>
      <c r="Q64" s="1849"/>
      <c r="R64" s="1843"/>
      <c r="S64" s="1843"/>
      <c r="T64" s="1843"/>
      <c r="U64" s="1843"/>
      <c r="V64" s="1843"/>
      <c r="W64" s="379"/>
      <c r="X64" s="379"/>
      <c r="Y64" s="379"/>
    </row>
    <row r="65" spans="1:50" s="415" customFormat="1" ht="19.5" customHeight="1">
      <c r="B65" s="1852"/>
      <c r="C65" s="301"/>
      <c r="D65" s="295" t="s">
        <v>1020</v>
      </c>
      <c r="E65" s="1785"/>
      <c r="F65" s="1786"/>
      <c r="G65" s="1785"/>
      <c r="H65" s="1785"/>
      <c r="I65" s="1785"/>
      <c r="J65" s="1785"/>
      <c r="K65" s="1785"/>
      <c r="L65" s="1785"/>
      <c r="M65" s="1794">
        <v>0</v>
      </c>
      <c r="N65" s="1853"/>
      <c r="P65" s="1854"/>
      <c r="Q65" s="1855"/>
      <c r="R65" s="1843"/>
      <c r="S65" s="1843"/>
      <c r="T65" s="1843"/>
      <c r="U65" s="1843"/>
      <c r="V65" s="1843"/>
    </row>
    <row r="66" spans="1:50" ht="19.5" customHeight="1">
      <c r="B66" s="257"/>
      <c r="C66" s="267"/>
      <c r="D66" s="295" t="s">
        <v>1021</v>
      </c>
      <c r="E66" s="1787"/>
      <c r="F66" s="1788"/>
      <c r="G66" s="1789"/>
      <c r="H66" s="1406"/>
      <c r="I66" s="1406"/>
      <c r="J66" s="1406"/>
      <c r="K66" s="1406"/>
      <c r="L66" s="1406"/>
      <c r="M66" s="1794">
        <v>0</v>
      </c>
      <c r="N66" s="1856"/>
      <c r="P66" s="1848"/>
      <c r="Q66" s="1857"/>
      <c r="R66" s="1843"/>
      <c r="S66" s="1843"/>
      <c r="T66" s="1843"/>
      <c r="U66" s="1843"/>
      <c r="V66" s="1843"/>
      <c r="W66" s="379"/>
      <c r="X66" s="379"/>
      <c r="Y66" s="379"/>
    </row>
    <row r="67" spans="1:50" ht="19.5" customHeight="1">
      <c r="B67" s="257"/>
      <c r="C67" s="267"/>
      <c r="D67" s="295" t="s">
        <v>1022</v>
      </c>
      <c r="E67" s="1787"/>
      <c r="F67" s="1788"/>
      <c r="G67" s="1789"/>
      <c r="H67" s="1406"/>
      <c r="I67" s="1406"/>
      <c r="J67" s="1406"/>
      <c r="K67" s="1406"/>
      <c r="L67" s="1406"/>
      <c r="M67" s="1794">
        <v>0</v>
      </c>
      <c r="N67" s="1856"/>
      <c r="P67" s="1848"/>
      <c r="Q67" s="1858"/>
      <c r="R67" s="1843"/>
      <c r="S67" s="1843"/>
      <c r="T67" s="1843"/>
      <c r="U67" s="1843"/>
      <c r="V67" s="1843"/>
      <c r="W67" s="379"/>
      <c r="X67" s="379"/>
      <c r="Y67" s="379"/>
    </row>
    <row r="68" spans="1:50" ht="19.5" customHeight="1">
      <c r="B68" s="257"/>
      <c r="C68" s="267"/>
      <c r="D68" s="295" t="s">
        <v>1023</v>
      </c>
      <c r="E68" s="1787"/>
      <c r="F68" s="1788"/>
      <c r="G68" s="1789"/>
      <c r="H68" s="1406"/>
      <c r="I68" s="1406"/>
      <c r="J68" s="1406"/>
      <c r="K68" s="1406"/>
      <c r="L68" s="1406"/>
      <c r="M68" s="1794">
        <v>0</v>
      </c>
      <c r="N68" s="1856"/>
      <c r="P68" s="1848"/>
      <c r="Q68" s="1858"/>
      <c r="R68" s="1843"/>
      <c r="S68" s="1843"/>
      <c r="T68" s="1843"/>
      <c r="U68" s="1843"/>
      <c r="V68" s="1843"/>
      <c r="W68" s="379"/>
      <c r="X68" s="379"/>
      <c r="Y68" s="379"/>
    </row>
    <row r="69" spans="1:50" ht="19.5" customHeight="1">
      <c r="B69" s="257"/>
      <c r="C69" s="267"/>
      <c r="D69" s="295" t="s">
        <v>1024</v>
      </c>
      <c r="E69" s="1787"/>
      <c r="F69" s="1788"/>
      <c r="G69" s="1789"/>
      <c r="H69" s="1406"/>
      <c r="I69" s="1406"/>
      <c r="J69" s="1406"/>
      <c r="K69" s="1406"/>
      <c r="L69" s="1406"/>
      <c r="M69" s="1794">
        <v>0</v>
      </c>
      <c r="N69" s="1856"/>
      <c r="P69" s="1848"/>
      <c r="Q69" s="1858"/>
      <c r="R69" s="1843"/>
      <c r="S69" s="1843"/>
      <c r="T69" s="1843"/>
      <c r="U69" s="1843"/>
      <c r="V69" s="1843"/>
      <c r="W69" s="379"/>
      <c r="X69" s="379"/>
      <c r="Y69" s="379"/>
    </row>
    <row r="70" spans="1:50" ht="19.5" customHeight="1">
      <c r="B70" s="257"/>
      <c r="C70" s="377"/>
      <c r="D70" s="295" t="s">
        <v>1025</v>
      </c>
      <c r="E70" s="1789"/>
      <c r="F70" s="1406"/>
      <c r="G70" s="1789"/>
      <c r="H70" s="1406"/>
      <c r="I70" s="1406"/>
      <c r="J70" s="1406"/>
      <c r="K70" s="1406"/>
      <c r="L70" s="1406"/>
      <c r="M70" s="1794">
        <v>0</v>
      </c>
      <c r="N70" s="1856"/>
      <c r="P70" s="1841"/>
      <c r="Q70" s="1859"/>
      <c r="R70" s="1843"/>
      <c r="S70" s="1843"/>
      <c r="T70" s="1843"/>
      <c r="U70" s="1843"/>
      <c r="V70" s="1843"/>
      <c r="W70" s="379"/>
      <c r="X70" s="379"/>
      <c r="Y70" s="379"/>
    </row>
    <row r="71" spans="1:50" ht="19.5" customHeight="1">
      <c r="B71" s="257"/>
      <c r="C71" s="183"/>
      <c r="D71" s="295" t="s">
        <v>1026</v>
      </c>
      <c r="E71" s="1789"/>
      <c r="F71" s="1406"/>
      <c r="G71" s="1789"/>
      <c r="H71" s="1406"/>
      <c r="I71" s="1406"/>
      <c r="J71" s="1406"/>
      <c r="K71" s="1406"/>
      <c r="L71" s="1406"/>
      <c r="M71" s="1794">
        <v>0</v>
      </c>
      <c r="N71" s="1856"/>
      <c r="P71" s="1841"/>
      <c r="Q71" s="1859"/>
      <c r="R71" s="1843"/>
      <c r="S71" s="1843"/>
      <c r="T71" s="1843"/>
      <c r="U71" s="1843"/>
      <c r="V71" s="1843"/>
      <c r="W71" s="379"/>
      <c r="X71" s="379"/>
      <c r="Y71" s="379"/>
    </row>
    <row r="72" spans="1:50" ht="19.5" customHeight="1">
      <c r="B72" s="257"/>
      <c r="C72" s="183"/>
      <c r="D72" s="295" t="s">
        <v>1027</v>
      </c>
      <c r="E72" s="1790"/>
      <c r="F72" s="1791"/>
      <c r="G72" s="1790"/>
      <c r="H72" s="1791"/>
      <c r="I72" s="1791"/>
      <c r="J72" s="1791"/>
      <c r="K72" s="1791"/>
      <c r="L72" s="1791"/>
      <c r="M72" s="1794">
        <v>0</v>
      </c>
      <c r="N72" s="1860"/>
      <c r="P72" s="1841"/>
      <c r="Q72" s="1859"/>
      <c r="R72" s="1843"/>
      <c r="S72" s="1843"/>
      <c r="T72" s="1843"/>
      <c r="U72" s="1843"/>
      <c r="V72" s="1843"/>
      <c r="W72" s="379"/>
      <c r="X72" s="379"/>
      <c r="Y72" s="379"/>
    </row>
    <row r="73" spans="1:50" ht="19.5" customHeight="1" thickBot="1">
      <c r="B73" s="1835"/>
      <c r="C73" s="234"/>
      <c r="D73" s="290"/>
      <c r="E73" s="1861"/>
      <c r="F73" s="1862"/>
      <c r="G73" s="1862"/>
      <c r="H73" s="1862"/>
      <c r="I73" s="1862"/>
      <c r="J73" s="1862"/>
      <c r="K73" s="1862"/>
      <c r="L73" s="1862"/>
      <c r="M73" s="585">
        <f>SUM(M64:M72)</f>
        <v>0</v>
      </c>
      <c r="N73" s="1863"/>
      <c r="P73" s="1841"/>
      <c r="Q73" s="1859"/>
      <c r="R73" s="1843"/>
      <c r="S73" s="1843"/>
      <c r="T73" s="1843"/>
      <c r="U73" s="1843"/>
      <c r="V73" s="1843"/>
      <c r="W73" s="379"/>
      <c r="X73" s="379"/>
      <c r="Y73" s="379"/>
    </row>
    <row r="74" spans="1:50" ht="19.5" customHeight="1">
      <c r="A74" s="1864"/>
      <c r="B74" s="1865"/>
      <c r="C74" s="1865"/>
      <c r="D74" s="1865"/>
      <c r="E74" s="1865"/>
      <c r="F74" s="1866"/>
      <c r="G74" s="1866"/>
      <c r="H74" s="1866"/>
      <c r="I74" s="1866"/>
      <c r="J74" s="1866"/>
      <c r="K74" s="1866"/>
      <c r="L74" s="1866"/>
      <c r="M74" s="1866"/>
      <c r="N74" s="1867"/>
      <c r="P74" s="1841"/>
      <c r="Q74" s="1859"/>
      <c r="R74" s="1843"/>
      <c r="S74" s="1843"/>
      <c r="T74" s="1843"/>
      <c r="U74" s="1843"/>
      <c r="V74" s="1843"/>
      <c r="W74" s="379"/>
      <c r="X74" s="379"/>
      <c r="Y74" s="379"/>
    </row>
    <row r="75" spans="1:50" ht="19.5" customHeight="1" thickBot="1">
      <c r="A75" s="1868"/>
      <c r="B75" s="1869"/>
      <c r="C75" s="1869"/>
      <c r="D75" s="1869"/>
      <c r="E75" s="1869"/>
      <c r="F75" s="1869"/>
      <c r="G75" s="1870"/>
      <c r="H75" s="1869"/>
      <c r="I75" s="1869"/>
      <c r="J75" s="1871"/>
      <c r="K75" s="1872"/>
      <c r="L75" s="1873" t="s">
        <v>1028</v>
      </c>
      <c r="M75" s="1874">
        <f ca="1">M17+M22+M32+M35+M44+M46+M50+M59+M61+M73</f>
        <v>0</v>
      </c>
      <c r="N75" s="1875"/>
      <c r="P75" s="1841"/>
      <c r="Q75" s="1859"/>
      <c r="R75" s="1843"/>
      <c r="S75" s="1843"/>
      <c r="T75" s="1843"/>
      <c r="U75" s="1843"/>
      <c r="V75" s="1843"/>
      <c r="W75" s="379"/>
      <c r="X75" s="379"/>
      <c r="Y75" s="379"/>
    </row>
    <row r="76" spans="1:50" ht="19.5" customHeight="1" thickBot="1">
      <c r="B76" s="1876"/>
      <c r="C76" s="1877"/>
      <c r="D76" s="1877"/>
      <c r="E76" s="1877"/>
      <c r="F76" s="1877"/>
      <c r="G76" s="1877"/>
      <c r="H76" s="1877"/>
      <c r="I76" s="1877"/>
      <c r="J76" s="1877"/>
      <c r="K76" s="1877"/>
      <c r="L76" s="1877"/>
      <c r="M76" s="1877"/>
      <c r="N76" s="1878"/>
      <c r="P76" s="1841"/>
      <c r="Q76" s="1859"/>
      <c r="R76" s="1843"/>
      <c r="S76" s="1843"/>
      <c r="T76" s="1843"/>
      <c r="U76" s="1843"/>
      <c r="V76" s="1843"/>
      <c r="W76" s="379"/>
      <c r="X76" s="379"/>
      <c r="Y76" s="379"/>
    </row>
    <row r="77" spans="1:50" s="415" customFormat="1" ht="20.100000000000001" customHeight="1">
      <c r="B77" s="418" t="s">
        <v>317</v>
      </c>
      <c r="C77" s="432"/>
      <c r="D77" s="432"/>
      <c r="E77" s="494"/>
      <c r="F77" s="497"/>
      <c r="G77" s="496"/>
      <c r="H77" s="495"/>
      <c r="I77" s="495"/>
      <c r="J77" s="495"/>
      <c r="K77" s="495"/>
      <c r="L77" s="495"/>
      <c r="M77" s="494"/>
      <c r="N77" s="498"/>
      <c r="O77" s="520"/>
      <c r="R77" s="384"/>
      <c r="S77" s="384"/>
      <c r="T77" s="384"/>
      <c r="U77" s="384"/>
      <c r="V77" s="384"/>
      <c r="W77" s="928"/>
      <c r="X77" s="1064"/>
      <c r="Y77" s="1064"/>
    </row>
    <row r="78" spans="1:50" ht="20.100000000000001" customHeight="1">
      <c r="A78" s="415"/>
      <c r="B78" s="300"/>
      <c r="C78" s="1245" t="s">
        <v>347</v>
      </c>
      <c r="D78" s="198"/>
      <c r="E78" s="550"/>
      <c r="F78" s="551"/>
      <c r="G78" s="551"/>
      <c r="H78" s="552"/>
      <c r="I78" s="552"/>
      <c r="J78" s="552"/>
      <c r="K78" s="552"/>
      <c r="L78" s="552"/>
      <c r="M78" s="552"/>
      <c r="N78" s="545"/>
      <c r="O78" s="520"/>
      <c r="S78" s="384"/>
      <c r="T78" s="384"/>
      <c r="U78" s="384"/>
      <c r="V78" s="384"/>
      <c r="W78" s="928"/>
      <c r="X78" s="1064"/>
      <c r="Y78" s="1064"/>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5"/>
    </row>
    <row r="79" spans="1:50" s="415" customFormat="1" ht="20.100000000000001" customHeight="1">
      <c r="A79" s="384">
        <v>206</v>
      </c>
      <c r="B79" s="1051"/>
      <c r="C79" s="1278"/>
      <c r="D79" s="1061" t="s">
        <v>318</v>
      </c>
      <c r="E79" s="180" t="s">
        <v>179</v>
      </c>
      <c r="F79" s="1267">
        <v>1</v>
      </c>
      <c r="G79" s="1267"/>
      <c r="H79" s="181">
        <v>4</v>
      </c>
      <c r="I79" s="180" t="s">
        <v>319</v>
      </c>
      <c r="J79" s="1267">
        <v>250</v>
      </c>
      <c r="K79" s="1267">
        <v>250</v>
      </c>
      <c r="L79" s="181">
        <v>1</v>
      </c>
      <c r="M79" s="1121">
        <f ca="1">(FAC_INFO_FAC_TYPE&lt;&gt;1)*
(IF(HOSPITAL,H79,H80)
+IF(HOSPITAL,(FTE_FTE_Calc&gt;K79)*(FTE_FTE_Calc-K79)*L79/J79,(FTE_FTE_Calc&gt;K80)*(FTE_FTE_Calc-K80)/J80*L80))</f>
        <v>0</v>
      </c>
      <c r="N79" s="1235">
        <f ca="1">-M85-M83</f>
        <v>0</v>
      </c>
      <c r="O79" s="546"/>
      <c r="R79" s="384"/>
      <c r="S79" s="384"/>
      <c r="T79" s="384"/>
      <c r="U79" s="384"/>
      <c r="V79" s="384"/>
      <c r="W79" s="481"/>
      <c r="X79" s="384"/>
      <c r="Y79" s="384"/>
      <c r="Z79" s="379"/>
      <c r="AA79" s="379"/>
      <c r="AB79" s="379"/>
      <c r="AC79" s="379"/>
      <c r="AD79" s="379"/>
      <c r="AE79" s="379"/>
      <c r="AF79" s="379"/>
      <c r="AG79" s="379"/>
      <c r="AH79" s="379"/>
      <c r="AI79" s="379"/>
      <c r="AJ79" s="379"/>
      <c r="AK79" s="379"/>
      <c r="AL79" s="379"/>
      <c r="AM79" s="379"/>
      <c r="AN79" s="379"/>
      <c r="AO79" s="379"/>
      <c r="AP79" s="379"/>
      <c r="AQ79" s="379"/>
      <c r="AR79" s="379"/>
      <c r="AS79" s="379"/>
      <c r="AT79" s="379"/>
      <c r="AU79" s="379"/>
      <c r="AV79" s="379"/>
      <c r="AW79" s="379"/>
      <c r="AX79" s="379"/>
    </row>
    <row r="80" spans="1:50" s="415" customFormat="1" ht="20.100000000000001" customHeight="1">
      <c r="A80" s="384"/>
      <c r="B80" s="1051"/>
      <c r="C80" s="1278"/>
      <c r="D80" s="1061"/>
      <c r="E80" s="1246" t="s">
        <v>796</v>
      </c>
      <c r="F80" s="1267">
        <v>1</v>
      </c>
      <c r="G80" s="1267"/>
      <c r="H80" s="181">
        <v>2</v>
      </c>
      <c r="I80" s="180" t="s">
        <v>319</v>
      </c>
      <c r="J80" s="1267">
        <v>100</v>
      </c>
      <c r="K80" s="1267">
        <v>100</v>
      </c>
      <c r="L80" s="181">
        <v>1</v>
      </c>
      <c r="M80" s="1121"/>
      <c r="N80" s="1239"/>
      <c r="O80" s="546"/>
      <c r="R80" s="384"/>
      <c r="S80" s="384"/>
      <c r="T80" s="384"/>
      <c r="U80" s="384"/>
      <c r="V80" s="384"/>
      <c r="W80" s="481"/>
      <c r="X80" s="384"/>
      <c r="Y80" s="384"/>
      <c r="Z80" s="379"/>
      <c r="AA80" s="379"/>
      <c r="AB80" s="379"/>
      <c r="AC80" s="379"/>
      <c r="AD80" s="379"/>
      <c r="AE80" s="379"/>
      <c r="AF80" s="379"/>
      <c r="AG80" s="379"/>
      <c r="AH80" s="379"/>
      <c r="AI80" s="379"/>
      <c r="AJ80" s="379"/>
      <c r="AK80" s="379"/>
      <c r="AL80" s="379"/>
      <c r="AM80" s="379"/>
      <c r="AN80" s="379"/>
      <c r="AO80" s="379"/>
      <c r="AP80" s="379"/>
      <c r="AQ80" s="379"/>
      <c r="AR80" s="379"/>
      <c r="AS80" s="379"/>
      <c r="AT80" s="379"/>
      <c r="AU80" s="379"/>
      <c r="AV80" s="379"/>
      <c r="AW80" s="379"/>
      <c r="AX80" s="379"/>
    </row>
    <row r="81" spans="1:50" s="415" customFormat="1" ht="20.100000000000001" customHeight="1">
      <c r="A81" s="384">
        <v>212</v>
      </c>
      <c r="B81" s="1051"/>
      <c r="C81" s="252"/>
      <c r="D81" s="1061" t="s">
        <v>320</v>
      </c>
      <c r="E81" s="180" t="s">
        <v>4</v>
      </c>
      <c r="F81" s="1267">
        <v>1</v>
      </c>
      <c r="G81" s="1267"/>
      <c r="H81" s="181">
        <v>2</v>
      </c>
      <c r="I81" s="1246" t="s">
        <v>796</v>
      </c>
      <c r="J81" s="1267">
        <v>1</v>
      </c>
      <c r="K81" s="1267"/>
      <c r="L81" s="181">
        <v>1</v>
      </c>
      <c r="M81" s="213">
        <f>IF(HOSPITAL,H81,L81)*(FAC_INFO_FAC_TYPE&lt;&gt;1)</f>
        <v>0</v>
      </c>
      <c r="N81" s="1239"/>
      <c r="O81" s="1229"/>
      <c r="R81" s="384"/>
      <c r="S81" s="384"/>
      <c r="T81" s="384"/>
      <c r="U81" s="384"/>
      <c r="V81" s="384"/>
      <c r="W81" s="481"/>
      <c r="X81" s="384"/>
      <c r="Y81" s="384"/>
      <c r="Z81" s="379"/>
      <c r="AA81" s="379"/>
      <c r="AB81" s="379"/>
      <c r="AC81" s="379"/>
      <c r="AD81" s="379"/>
      <c r="AE81" s="379"/>
      <c r="AF81" s="379"/>
      <c r="AG81" s="379"/>
      <c r="AH81" s="379"/>
      <c r="AI81" s="379"/>
      <c r="AJ81" s="379"/>
      <c r="AK81" s="379"/>
      <c r="AL81" s="379"/>
      <c r="AM81" s="379"/>
      <c r="AN81" s="379"/>
      <c r="AO81" s="379"/>
      <c r="AP81" s="379"/>
      <c r="AQ81" s="379"/>
      <c r="AR81" s="379"/>
      <c r="AS81" s="379"/>
      <c r="AT81" s="379"/>
      <c r="AU81" s="379"/>
      <c r="AV81" s="379"/>
      <c r="AW81" s="379"/>
      <c r="AX81" s="379"/>
    </row>
    <row r="82" spans="1:50" ht="20.100000000000001" customHeight="1">
      <c r="A82" s="384">
        <v>208</v>
      </c>
      <c r="B82" s="1051"/>
      <c r="C82" s="1278"/>
      <c r="D82" s="1279" t="s">
        <v>321</v>
      </c>
      <c r="E82" s="180" t="s">
        <v>4</v>
      </c>
      <c r="F82" s="1267">
        <v>1</v>
      </c>
      <c r="G82" s="1267"/>
      <c r="H82" s="181">
        <v>1</v>
      </c>
      <c r="I82" s="1246" t="s">
        <v>796</v>
      </c>
      <c r="J82" s="1267">
        <v>1</v>
      </c>
      <c r="K82" s="1267"/>
      <c r="L82" s="181">
        <v>0.5</v>
      </c>
      <c r="M82" s="1121">
        <f>IF(HOSPITAL,H82,L82)*(FAC_INFO_FAC_TYPE&lt;&gt;1)</f>
        <v>0</v>
      </c>
      <c r="N82" s="1238"/>
      <c r="O82" s="1229"/>
      <c r="S82" s="384"/>
      <c r="T82" s="384"/>
      <c r="U82" s="384"/>
      <c r="V82" s="384"/>
      <c r="W82" s="481"/>
    </row>
    <row r="83" spans="1:50" ht="20.100000000000001" customHeight="1">
      <c r="A83" s="384">
        <v>207</v>
      </c>
      <c r="B83" s="1051"/>
      <c r="C83" s="1278"/>
      <c r="D83" s="1279" t="s">
        <v>479</v>
      </c>
      <c r="E83" s="1246" t="s">
        <v>797</v>
      </c>
      <c r="F83" s="1275"/>
      <c r="G83" s="1275"/>
      <c r="H83" s="1272">
        <v>1</v>
      </c>
      <c r="I83" s="1272"/>
      <c r="J83" s="1272"/>
      <c r="K83" s="1272"/>
      <c r="L83" s="1272"/>
      <c r="M83" s="1280">
        <f>IF(HEALTHCENTER,H83,0)</f>
        <v>0</v>
      </c>
      <c r="N83" s="1238"/>
      <c r="O83" s="546"/>
      <c r="S83" s="384"/>
      <c r="T83" s="384"/>
      <c r="U83" s="384"/>
      <c r="V83" s="384"/>
      <c r="W83" s="481"/>
    </row>
    <row r="84" spans="1:50" s="415" customFormat="1" ht="20.100000000000001" customHeight="1">
      <c r="A84" s="384">
        <v>221</v>
      </c>
      <c r="B84" s="1051"/>
      <c r="C84" s="252"/>
      <c r="D84" s="1061" t="s">
        <v>483</v>
      </c>
      <c r="E84" s="1246" t="s">
        <v>157</v>
      </c>
      <c r="F84" s="1275">
        <v>1</v>
      </c>
      <c r="G84" s="1275"/>
      <c r="H84" s="1272">
        <v>1</v>
      </c>
      <c r="I84" s="1246"/>
      <c r="J84" s="1275"/>
      <c r="K84" s="1275"/>
      <c r="L84" s="1272"/>
      <c r="M84" s="1276">
        <f>H84*(FAC_INFO_FAC_TYPE&lt;&gt;1)</f>
        <v>0</v>
      </c>
      <c r="N84" s="1238"/>
      <c r="O84" s="546"/>
      <c r="R84" s="384"/>
      <c r="S84" s="384"/>
      <c r="T84" s="384"/>
      <c r="U84" s="384"/>
      <c r="V84" s="384"/>
      <c r="W84" s="481"/>
      <c r="X84" s="384"/>
      <c r="Y84" s="384"/>
      <c r="Z84" s="379"/>
      <c r="AA84" s="379"/>
      <c r="AB84" s="379"/>
      <c r="AC84" s="379"/>
      <c r="AD84" s="379"/>
      <c r="AE84" s="379"/>
      <c r="AF84" s="379"/>
      <c r="AG84" s="379"/>
      <c r="AH84" s="379"/>
      <c r="AI84" s="379"/>
      <c r="AJ84" s="379"/>
      <c r="AK84" s="379"/>
      <c r="AL84" s="379"/>
      <c r="AM84" s="379"/>
      <c r="AN84" s="379"/>
      <c r="AO84" s="379"/>
      <c r="AP84" s="379"/>
      <c r="AQ84" s="379"/>
      <c r="AR84" s="379"/>
      <c r="AS84" s="379"/>
      <c r="AT84" s="379"/>
      <c r="AU84" s="379"/>
      <c r="AV84" s="379"/>
      <c r="AW84" s="379"/>
      <c r="AX84" s="379"/>
    </row>
    <row r="85" spans="1:50" s="415" customFormat="1" ht="20.100000000000001" customHeight="1">
      <c r="A85" s="384">
        <v>220</v>
      </c>
      <c r="B85" s="1051"/>
      <c r="C85" s="252"/>
      <c r="D85" s="1279" t="s">
        <v>484</v>
      </c>
      <c r="E85" s="1246" t="s">
        <v>318</v>
      </c>
      <c r="F85" s="1275">
        <v>1</v>
      </c>
      <c r="G85" s="1275"/>
      <c r="H85" s="1272">
        <v>1</v>
      </c>
      <c r="I85" s="1246"/>
      <c r="J85" s="1275"/>
      <c r="K85" s="1275"/>
      <c r="L85" s="1272"/>
      <c r="M85" s="1276">
        <f ca="1">IF(M79&gt;=F85,H85,0)</f>
        <v>0</v>
      </c>
      <c r="N85" s="1238"/>
      <c r="O85" s="546"/>
      <c r="R85" s="384"/>
      <c r="S85" s="384"/>
      <c r="T85" s="384"/>
      <c r="U85" s="384"/>
      <c r="V85" s="384"/>
      <c r="W85" s="481"/>
      <c r="X85" s="384"/>
      <c r="Y85" s="384"/>
      <c r="Z85" s="379"/>
      <c r="AA85" s="379"/>
      <c r="AB85" s="379"/>
      <c r="AC85" s="379"/>
      <c r="AD85" s="379"/>
      <c r="AE85" s="379"/>
      <c r="AF85" s="379"/>
      <c r="AG85" s="379"/>
      <c r="AH85" s="379"/>
      <c r="AI85" s="379"/>
      <c r="AJ85" s="379"/>
      <c r="AK85" s="379"/>
      <c r="AL85" s="379"/>
      <c r="AM85" s="379"/>
      <c r="AN85" s="379"/>
      <c r="AO85" s="379"/>
      <c r="AP85" s="379"/>
      <c r="AQ85" s="379"/>
      <c r="AR85" s="379"/>
      <c r="AS85" s="379"/>
      <c r="AT85" s="379"/>
      <c r="AU85" s="379"/>
      <c r="AV85" s="379"/>
      <c r="AW85" s="379"/>
      <c r="AX85" s="379"/>
    </row>
    <row r="86" spans="1:50" ht="20.100000000000001" customHeight="1" thickBot="1">
      <c r="A86" s="384">
        <v>210</v>
      </c>
      <c r="B86" s="1051"/>
      <c r="C86" s="1278"/>
      <c r="D86" s="1281" t="s">
        <v>480</v>
      </c>
      <c r="E86" s="1268" t="s">
        <v>318</v>
      </c>
      <c r="F86" s="1270"/>
      <c r="G86" s="1270"/>
      <c r="H86" s="1271">
        <v>1</v>
      </c>
      <c r="I86" s="1271"/>
      <c r="J86" s="1271"/>
      <c r="K86" s="1271"/>
      <c r="L86" s="1271"/>
      <c r="M86" s="1332">
        <f>H86*(FAC_INFO_FAC_TYPE&lt;&gt;1)</f>
        <v>0</v>
      </c>
      <c r="N86" s="1238"/>
      <c r="O86" s="546"/>
      <c r="S86" s="384"/>
      <c r="T86" s="384"/>
      <c r="U86" s="384"/>
      <c r="V86" s="384"/>
      <c r="W86" s="481"/>
    </row>
    <row r="87" spans="1:50" ht="20.100000000000001" customHeight="1">
      <c r="A87" s="384">
        <v>431</v>
      </c>
      <c r="B87" s="1051"/>
      <c r="C87" s="1330"/>
      <c r="D87" s="1339" t="s">
        <v>816</v>
      </c>
      <c r="E87" s="1340" t="s">
        <v>817</v>
      </c>
      <c r="F87" s="1341">
        <v>1</v>
      </c>
      <c r="G87" s="1341"/>
      <c r="H87" s="1342">
        <v>1</v>
      </c>
      <c r="I87" s="1342" t="s">
        <v>818</v>
      </c>
      <c r="J87" s="1342">
        <v>125</v>
      </c>
      <c r="K87" s="1342">
        <v>125</v>
      </c>
      <c r="L87" s="1342">
        <v>1</v>
      </c>
      <c r="M87" s="1343">
        <f>IF(HOSPITAL,H87,0) + IF(HEALTHCENTER,H88,0)</f>
        <v>0</v>
      </c>
      <c r="N87" s="1331"/>
      <c r="O87" s="546"/>
      <c r="S87" s="384"/>
      <c r="T87" s="384"/>
      <c r="U87" s="384"/>
      <c r="V87" s="384"/>
      <c r="W87" s="481"/>
    </row>
    <row r="88" spans="1:50" ht="20.100000000000001" customHeight="1">
      <c r="A88" s="384"/>
      <c r="B88" s="1051"/>
      <c r="C88" s="1330"/>
      <c r="D88" s="1344"/>
      <c r="E88" s="1282" t="s">
        <v>2</v>
      </c>
      <c r="F88" s="1283">
        <v>1</v>
      </c>
      <c r="G88" s="1283">
        <v>200000</v>
      </c>
      <c r="H88" s="1284">
        <v>0.5</v>
      </c>
      <c r="I88" s="1284" t="s">
        <v>819</v>
      </c>
      <c r="J88" s="1284">
        <v>100000</v>
      </c>
      <c r="K88" s="1284">
        <v>200000</v>
      </c>
      <c r="L88" s="1284"/>
      <c r="M88" s="1345">
        <f>IF(HOSPITAL,(ADPL / J87) + IF(OPV &gt; J88,(OPV - J88)/K88,0),0) + IF(HEALTHCENTER,OPV / G88,0)</f>
        <v>0</v>
      </c>
      <c r="N88" s="1331"/>
      <c r="O88" s="546"/>
      <c r="S88" s="384"/>
      <c r="T88" s="384"/>
      <c r="U88" s="384"/>
      <c r="V88" s="384"/>
      <c r="W88" s="481"/>
    </row>
    <row r="89" spans="1:50" ht="20.100000000000001" customHeight="1" thickBot="1">
      <c r="A89" s="384"/>
      <c r="B89" s="1051"/>
      <c r="C89" s="1330"/>
      <c r="D89" s="1346"/>
      <c r="E89" s="1347" t="s">
        <v>821</v>
      </c>
      <c r="F89" s="1348">
        <v>1</v>
      </c>
      <c r="G89" s="1348">
        <v>200000</v>
      </c>
      <c r="H89" s="1347">
        <v>0.5</v>
      </c>
      <c r="I89" s="1347" t="s">
        <v>820</v>
      </c>
      <c r="J89" s="1347"/>
      <c r="K89" s="1347"/>
      <c r="L89" s="1347"/>
      <c r="M89" s="1349">
        <f>H89*SatelliteFacilitiesOPV /G89*(FAC_INFO_FAC_TYPE&lt;&gt;1)</f>
        <v>0</v>
      </c>
      <c r="N89" s="1331"/>
      <c r="O89" s="546"/>
      <c r="S89" s="384"/>
      <c r="T89" s="384"/>
      <c r="U89" s="384"/>
      <c r="V89" s="384"/>
      <c r="W89" s="481"/>
    </row>
    <row r="90" spans="1:50" ht="20.100000000000001" customHeight="1" thickBot="1">
      <c r="B90" s="232"/>
      <c r="C90" s="555"/>
      <c r="D90" s="1333"/>
      <c r="E90" s="1334"/>
      <c r="F90" s="1335"/>
      <c r="G90" s="1336"/>
      <c r="H90" s="1337"/>
      <c r="I90" s="1337"/>
      <c r="J90" s="1337"/>
      <c r="K90" s="1337"/>
      <c r="L90" s="1337"/>
      <c r="M90" s="1338">
        <f ca="1">SUM(M79:M89)+N79</f>
        <v>0</v>
      </c>
      <c r="N90" s="518"/>
      <c r="O90" s="546"/>
      <c r="S90" s="384"/>
      <c r="T90" s="384"/>
      <c r="U90" s="384"/>
      <c r="V90" s="384"/>
      <c r="W90" s="546"/>
    </row>
    <row r="91" spans="1:50" s="415" customFormat="1" ht="20.100000000000001" hidden="1" customHeight="1">
      <c r="B91" s="221"/>
      <c r="C91" s="493" t="s">
        <v>322</v>
      </c>
      <c r="D91" s="432"/>
      <c r="E91" s="494"/>
      <c r="F91" s="497"/>
      <c r="G91" s="496"/>
      <c r="H91" s="495"/>
      <c r="I91" s="495"/>
      <c r="J91" s="495"/>
      <c r="K91" s="495"/>
      <c r="L91" s="495"/>
      <c r="M91" s="494"/>
      <c r="N91" s="498"/>
      <c r="O91" s="525"/>
      <c r="R91" s="384"/>
      <c r="S91" s="384"/>
      <c r="T91" s="384"/>
      <c r="U91" s="384"/>
      <c r="V91" s="384"/>
      <c r="W91" s="520"/>
      <c r="X91" s="1064"/>
      <c r="Y91" s="1064"/>
    </row>
    <row r="92" spans="1:50" s="415" customFormat="1" ht="20.100000000000001" hidden="1" customHeight="1">
      <c r="A92" s="379"/>
      <c r="B92" s="199"/>
      <c r="C92" s="553"/>
      <c r="D92" s="1234" t="s">
        <v>318</v>
      </c>
      <c r="E92" s="1237" t="s">
        <v>634</v>
      </c>
      <c r="F92" s="1231">
        <v>1</v>
      </c>
      <c r="G92" s="1231"/>
      <c r="H92" s="1232">
        <v>2</v>
      </c>
      <c r="I92" s="1230" t="s">
        <v>314</v>
      </c>
      <c r="J92" s="1231">
        <v>100</v>
      </c>
      <c r="K92" s="1231">
        <v>100</v>
      </c>
      <c r="L92" s="1232">
        <v>1</v>
      </c>
      <c r="M92" s="1233">
        <f ca="1">(FAC_INFO_FAC_TYPE&lt;&gt;1)*(IF(NOT(HOSPITAL),H92,0)+IF(AND(NOT(HOSPITAL),FTE_FTE_Calc&gt;K92),(FTE_FTE_Calc-K92)/J92*L92,0))</f>
        <v>0</v>
      </c>
      <c r="N92" s="1235">
        <f ca="1">-M95-M97</f>
        <v>0</v>
      </c>
      <c r="O92" s="546"/>
      <c r="R92" s="384"/>
      <c r="S92" s="384"/>
      <c r="T92" s="384"/>
      <c r="U92" s="384"/>
      <c r="V92" s="384"/>
      <c r="W92" s="481"/>
      <c r="X92" s="384"/>
      <c r="Y92" s="384"/>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379"/>
      <c r="AX92" s="379"/>
    </row>
    <row r="93" spans="1:50" s="415" customFormat="1" ht="20.100000000000001" hidden="1" customHeight="1">
      <c r="A93" s="379"/>
      <c r="B93" s="199"/>
      <c r="C93" s="268"/>
      <c r="D93" s="554" t="s">
        <v>320</v>
      </c>
      <c r="E93" s="346" t="s">
        <v>323</v>
      </c>
      <c r="F93" s="347">
        <v>1</v>
      </c>
      <c r="G93" s="347"/>
      <c r="H93" s="348">
        <v>1</v>
      </c>
      <c r="I93" s="228" t="s">
        <v>595</v>
      </c>
      <c r="J93" s="228"/>
      <c r="K93" s="228"/>
      <c r="L93" s="228">
        <v>2</v>
      </c>
      <c r="M93" s="544">
        <f>(FAC_INFO_FAC_TYPE&lt;&gt;1)*(IF(NOT(HOSPITAL),H93,0)+IF(ALTRURAL,L93,0))</f>
        <v>0</v>
      </c>
      <c r="N93" s="1239"/>
      <c r="O93" s="546"/>
      <c r="R93" s="384"/>
      <c r="S93" s="384"/>
      <c r="T93" s="384"/>
      <c r="U93" s="384"/>
      <c r="V93" s="384"/>
      <c r="W93" s="481"/>
      <c r="X93" s="384"/>
      <c r="Y93" s="384"/>
      <c r="Z93" s="379"/>
      <c r="AA93" s="379"/>
      <c r="AB93" s="379"/>
      <c r="AC93" s="379"/>
      <c r="AD93" s="379"/>
      <c r="AE93" s="379"/>
      <c r="AF93" s="379"/>
      <c r="AG93" s="379"/>
      <c r="AH93" s="379"/>
      <c r="AI93" s="379"/>
      <c r="AJ93" s="379"/>
      <c r="AK93" s="379"/>
      <c r="AL93" s="379"/>
      <c r="AM93" s="379"/>
      <c r="AN93" s="379"/>
      <c r="AO93" s="379"/>
      <c r="AP93" s="379"/>
      <c r="AQ93" s="379"/>
      <c r="AR93" s="379"/>
      <c r="AS93" s="379"/>
      <c r="AT93" s="379"/>
      <c r="AU93" s="379"/>
      <c r="AV93" s="379"/>
      <c r="AW93" s="379"/>
      <c r="AX93" s="379"/>
    </row>
    <row r="94" spans="1:50" ht="20.100000000000001" hidden="1" customHeight="1">
      <c r="B94" s="199"/>
      <c r="C94" s="553"/>
      <c r="D94" s="449" t="s">
        <v>321</v>
      </c>
      <c r="E94" s="229" t="s">
        <v>157</v>
      </c>
      <c r="F94" s="328">
        <v>1</v>
      </c>
      <c r="G94" s="328"/>
      <c r="H94" s="228">
        <v>0.5</v>
      </c>
      <c r="I94" s="228"/>
      <c r="J94" s="228"/>
      <c r="K94" s="228"/>
      <c r="L94" s="228"/>
      <c r="M94" s="230">
        <f>IF(NOT(HOSPITAL),H94,0)*(FAC_INFO_FAC_TYPE&lt;&gt;1)</f>
        <v>0</v>
      </c>
      <c r="N94" s="1238"/>
      <c r="O94" s="546"/>
      <c r="S94" s="384"/>
      <c r="T94" s="384"/>
      <c r="U94" s="384"/>
      <c r="V94" s="384"/>
      <c r="W94" s="481"/>
    </row>
    <row r="95" spans="1:50" ht="20.100000000000001" hidden="1" customHeight="1">
      <c r="A95" s="1228">
        <v>207</v>
      </c>
      <c r="B95" s="199"/>
      <c r="C95" s="553"/>
      <c r="D95" s="1222" t="s">
        <v>479</v>
      </c>
      <c r="E95" s="1223" t="s">
        <v>318</v>
      </c>
      <c r="F95" s="1224">
        <v>1</v>
      </c>
      <c r="G95" s="1224"/>
      <c r="H95" s="1221">
        <v>1</v>
      </c>
      <c r="I95" s="1221"/>
      <c r="J95" s="1221"/>
      <c r="K95" s="1221"/>
      <c r="L95" s="1221"/>
      <c r="M95" s="1227">
        <f ca="1">IF((M92+M79)&gt;=F95,H95,0)</f>
        <v>0</v>
      </c>
      <c r="N95" s="1238"/>
      <c r="O95" s="546"/>
      <c r="S95" s="384"/>
      <c r="T95" s="384"/>
      <c r="U95" s="384"/>
      <c r="V95" s="384"/>
      <c r="W95" s="481"/>
    </row>
    <row r="96" spans="1:50" s="415" customFormat="1" ht="20.100000000000001" hidden="1" customHeight="1">
      <c r="A96" s="379"/>
      <c r="B96" s="199"/>
      <c r="C96" s="268"/>
      <c r="D96" s="1226" t="s">
        <v>483</v>
      </c>
      <c r="E96" s="1223" t="s">
        <v>4</v>
      </c>
      <c r="F96" s="1224"/>
      <c r="G96" s="1224"/>
      <c r="H96" s="1221">
        <v>1</v>
      </c>
      <c r="I96" s="1223"/>
      <c r="J96" s="1224"/>
      <c r="K96" s="1224"/>
      <c r="L96" s="1221"/>
      <c r="M96" s="1227">
        <f>IF(NOT(HOSPITAL),H84,0)*(FAC_INFO_FAC_TYPE&lt;&gt;1)</f>
        <v>0</v>
      </c>
      <c r="N96" s="1238"/>
      <c r="O96" s="546"/>
      <c r="R96" s="384"/>
      <c r="S96" s="384"/>
      <c r="T96" s="384"/>
      <c r="U96" s="384"/>
      <c r="V96" s="384"/>
      <c r="W96" s="481"/>
      <c r="X96" s="384"/>
      <c r="Y96" s="384"/>
      <c r="Z96" s="379"/>
      <c r="AA96" s="379"/>
      <c r="AB96" s="379"/>
      <c r="AC96" s="379"/>
      <c r="AD96" s="379"/>
      <c r="AE96" s="379"/>
      <c r="AF96" s="379"/>
      <c r="AG96" s="379"/>
      <c r="AH96" s="379"/>
      <c r="AI96" s="379"/>
      <c r="AJ96" s="379"/>
      <c r="AK96" s="379"/>
      <c r="AL96" s="379"/>
      <c r="AM96" s="379"/>
      <c r="AN96" s="379"/>
      <c r="AO96" s="379"/>
      <c r="AP96" s="379"/>
      <c r="AQ96" s="379"/>
      <c r="AR96" s="379"/>
      <c r="AS96" s="379"/>
      <c r="AT96" s="379"/>
      <c r="AU96" s="379"/>
      <c r="AV96" s="379"/>
      <c r="AW96" s="379"/>
      <c r="AX96" s="379"/>
    </row>
    <row r="97" spans="1:53" s="415" customFormat="1" ht="20.100000000000001" hidden="1" customHeight="1">
      <c r="A97" s="379"/>
      <c r="B97" s="199"/>
      <c r="C97" s="268"/>
      <c r="D97" s="1222" t="s">
        <v>484</v>
      </c>
      <c r="E97" s="1223" t="s">
        <v>318</v>
      </c>
      <c r="F97" s="1224">
        <v>2</v>
      </c>
      <c r="G97" s="1224"/>
      <c r="H97" s="1221">
        <v>1</v>
      </c>
      <c r="I97" s="1223"/>
      <c r="J97" s="1224"/>
      <c r="K97" s="1224"/>
      <c r="L97" s="1221"/>
      <c r="M97" s="1227">
        <f ca="1">IF((M92+M79)&gt;=F97,H97,0)</f>
        <v>0</v>
      </c>
      <c r="N97" s="1238"/>
      <c r="O97" s="546"/>
      <c r="R97" s="384"/>
      <c r="S97" s="384"/>
      <c r="T97" s="384"/>
      <c r="U97" s="384"/>
      <c r="V97" s="384"/>
      <c r="W97" s="481"/>
      <c r="X97" s="384"/>
      <c r="Y97" s="384"/>
      <c r="Z97" s="379"/>
      <c r="AA97" s="379"/>
      <c r="AB97" s="379"/>
      <c r="AC97" s="379"/>
      <c r="AD97" s="379"/>
      <c r="AE97" s="379"/>
      <c r="AF97" s="379"/>
      <c r="AG97" s="379"/>
      <c r="AH97" s="379"/>
      <c r="AI97" s="379"/>
      <c r="AJ97" s="379"/>
      <c r="AK97" s="379"/>
      <c r="AL97" s="379"/>
      <c r="AM97" s="379"/>
      <c r="AN97" s="379"/>
      <c r="AO97" s="379"/>
      <c r="AP97" s="379"/>
      <c r="AQ97" s="379"/>
      <c r="AR97" s="379"/>
      <c r="AS97" s="379"/>
      <c r="AT97" s="379"/>
      <c r="AU97" s="379"/>
      <c r="AV97" s="379"/>
      <c r="AW97" s="379"/>
      <c r="AX97" s="379"/>
    </row>
    <row r="98" spans="1:53" ht="20.100000000000001" hidden="1" customHeight="1">
      <c r="B98" s="199"/>
      <c r="C98" s="553"/>
      <c r="D98" s="1222" t="s">
        <v>480</v>
      </c>
      <c r="E98" s="1223" t="s">
        <v>318</v>
      </c>
      <c r="F98" s="1224"/>
      <c r="G98" s="1224"/>
      <c r="H98" s="1221">
        <v>1</v>
      </c>
      <c r="I98" s="1221"/>
      <c r="J98" s="1221"/>
      <c r="K98" s="1221"/>
      <c r="L98" s="1221"/>
      <c r="M98" s="1227">
        <f>IF(NOT(HOSPITAL),H98,0)*(FAC_INFO_FAC_TYPE&lt;&gt;1)</f>
        <v>0</v>
      </c>
      <c r="N98" s="1238"/>
      <c r="O98" s="546"/>
      <c r="S98" s="384"/>
      <c r="T98" s="384"/>
      <c r="U98" s="384"/>
      <c r="V98" s="384"/>
      <c r="W98" s="481"/>
    </row>
    <row r="99" spans="1:53" ht="20.100000000000001" hidden="1" customHeight="1" thickBot="1">
      <c r="B99" s="232"/>
      <c r="C99" s="555"/>
      <c r="D99" s="452"/>
      <c r="E99" s="514"/>
      <c r="F99" s="515"/>
      <c r="G99" s="516"/>
      <c r="H99" s="517"/>
      <c r="I99" s="517"/>
      <c r="J99" s="517"/>
      <c r="K99" s="517"/>
      <c r="L99" s="517"/>
      <c r="M99" s="584">
        <f ca="1">SUM(M92:M98)+N92</f>
        <v>0</v>
      </c>
      <c r="N99" s="518"/>
      <c r="O99" s="546"/>
      <c r="S99" s="384"/>
      <c r="T99" s="384"/>
      <c r="U99" s="384"/>
      <c r="V99" s="384"/>
      <c r="W99" s="481"/>
    </row>
    <row r="100" spans="1:53" ht="20.100000000000001" customHeight="1">
      <c r="B100" s="176"/>
      <c r="C100" s="556" t="s">
        <v>324</v>
      </c>
      <c r="D100" s="178"/>
      <c r="E100" s="494"/>
      <c r="F100" s="497"/>
      <c r="G100" s="496"/>
      <c r="H100" s="495"/>
      <c r="I100" s="495"/>
      <c r="J100" s="495"/>
      <c r="K100" s="495"/>
      <c r="L100" s="495"/>
      <c r="M100" s="494"/>
      <c r="N100" s="498"/>
      <c r="O100" s="546"/>
      <c r="S100" s="384"/>
      <c r="T100" s="384"/>
      <c r="U100" s="384"/>
      <c r="V100" s="384"/>
      <c r="W100" s="481"/>
      <c r="AP100" s="1318"/>
      <c r="AQ100" s="23"/>
      <c r="AR100" s="23"/>
      <c r="AS100" s="23"/>
      <c r="AT100" s="23"/>
      <c r="AU100" s="23"/>
      <c r="AV100" s="23"/>
      <c r="AW100" s="23"/>
      <c r="AX100" s="23"/>
    </row>
    <row r="101" spans="1:53" ht="20.100000000000001" customHeight="1">
      <c r="A101" s="384">
        <v>214</v>
      </c>
      <c r="B101" s="1285"/>
      <c r="C101" s="1286"/>
      <c r="D101" s="182" t="s">
        <v>325</v>
      </c>
      <c r="E101" s="214" t="s">
        <v>319</v>
      </c>
      <c r="F101" s="231"/>
      <c r="G101" s="231">
        <v>300</v>
      </c>
      <c r="H101" s="213">
        <v>1</v>
      </c>
      <c r="I101" s="213"/>
      <c r="J101" s="213"/>
      <c r="K101" s="213"/>
      <c r="L101" s="213"/>
      <c r="M101" s="213">
        <f ca="1">IF(FTE_FTE_Calc&gt;=G101,H101,0)</f>
        <v>0</v>
      </c>
      <c r="N101" s="1235">
        <f ca="1">-M102</f>
        <v>0</v>
      </c>
      <c r="O101" s="546"/>
      <c r="S101" s="384"/>
      <c r="T101" s="384"/>
      <c r="U101" s="384"/>
      <c r="V101" s="384"/>
      <c r="W101" s="481"/>
      <c r="AP101" s="1318"/>
      <c r="AQ101" s="23"/>
      <c r="AR101" s="23"/>
      <c r="AS101" s="23"/>
      <c r="AT101" s="23"/>
      <c r="AU101" s="23"/>
      <c r="AV101" s="23"/>
      <c r="AW101" s="23"/>
      <c r="AX101" s="23"/>
    </row>
    <row r="102" spans="1:53" ht="20.100000000000001" customHeight="1">
      <c r="A102" s="384">
        <v>213</v>
      </c>
      <c r="B102" s="1285"/>
      <c r="C102" s="1286"/>
      <c r="D102" s="1279" t="s">
        <v>482</v>
      </c>
      <c r="E102" s="1246" t="s">
        <v>325</v>
      </c>
      <c r="F102" s="1275"/>
      <c r="G102" s="1275">
        <v>1</v>
      </c>
      <c r="H102" s="1272">
        <v>1</v>
      </c>
      <c r="I102" s="1246"/>
      <c r="J102" s="1275"/>
      <c r="K102" s="1275"/>
      <c r="L102" s="1272"/>
      <c r="M102" s="1280">
        <f ca="1">IF(M101&gt;=G102,H102,0)</f>
        <v>0</v>
      </c>
      <c r="N102" s="545"/>
      <c r="O102" s="546"/>
      <c r="S102" s="384"/>
      <c r="T102" s="384"/>
      <c r="U102" s="384"/>
      <c r="V102" s="384"/>
      <c r="W102" s="481"/>
      <c r="AP102" s="1318"/>
      <c r="AQ102" s="23"/>
      <c r="AR102" s="23"/>
      <c r="AS102" s="23"/>
      <c r="AT102" s="23"/>
      <c r="AU102" s="23"/>
      <c r="AV102" s="23"/>
      <c r="AW102" s="23"/>
      <c r="AX102" s="23"/>
    </row>
    <row r="103" spans="1:53" ht="20.100000000000001" customHeight="1">
      <c r="A103" s="384">
        <v>218</v>
      </c>
      <c r="B103" s="1285"/>
      <c r="C103" s="1286"/>
      <c r="D103" s="1279" t="s">
        <v>793</v>
      </c>
      <c r="E103" s="1246" t="s">
        <v>794</v>
      </c>
      <c r="F103" s="1275"/>
      <c r="G103" s="1275">
        <v>1</v>
      </c>
      <c r="H103" s="1272">
        <v>1</v>
      </c>
      <c r="I103" s="1246"/>
      <c r="J103" s="1275"/>
      <c r="K103" s="1275"/>
      <c r="L103" s="1272"/>
      <c r="M103" s="1280">
        <f>IF(M123&gt;=G103,1,0)</f>
        <v>0</v>
      </c>
      <c r="N103" s="545"/>
      <c r="O103" s="546"/>
      <c r="S103" s="384"/>
      <c r="T103" s="384"/>
      <c r="U103" s="384"/>
      <c r="V103" s="384"/>
      <c r="W103" s="481"/>
      <c r="AP103" s="1318"/>
      <c r="AQ103" s="23"/>
      <c r="AR103" s="23"/>
      <c r="AS103" s="23"/>
      <c r="AT103" s="23"/>
      <c r="AU103" s="23"/>
      <c r="AV103" s="23"/>
      <c r="AW103" s="23"/>
      <c r="AX103" s="23"/>
    </row>
    <row r="104" spans="1:53" ht="20.100000000000001" customHeight="1">
      <c r="A104" s="384">
        <v>215</v>
      </c>
      <c r="B104" s="1285"/>
      <c r="C104" s="1286"/>
      <c r="D104" s="1279" t="s">
        <v>803</v>
      </c>
      <c r="E104" s="1246" t="s">
        <v>318</v>
      </c>
      <c r="F104" s="1275"/>
      <c r="G104" s="1275">
        <v>1</v>
      </c>
      <c r="H104" s="1272">
        <v>1</v>
      </c>
      <c r="I104" s="1246"/>
      <c r="J104" s="1275"/>
      <c r="K104" s="1275"/>
      <c r="L104" s="1272"/>
      <c r="M104" s="1280">
        <f ca="1">IF(M79&gt;=G104,H104,0)</f>
        <v>0</v>
      </c>
      <c r="N104" s="545"/>
      <c r="O104" s="546"/>
      <c r="S104" s="384"/>
      <c r="T104" s="384"/>
      <c r="U104" s="384"/>
      <c r="V104" s="384"/>
      <c r="W104" s="481"/>
      <c r="AP104" s="1318"/>
      <c r="AQ104" s="23"/>
      <c r="AR104" s="23"/>
      <c r="AS104" s="23"/>
      <c r="AT104" s="23"/>
      <c r="AU104" s="23"/>
      <c r="AV104" s="23"/>
      <c r="AW104" s="23"/>
      <c r="AX104" s="23"/>
    </row>
    <row r="105" spans="1:53" ht="20.100000000000001" customHeight="1">
      <c r="A105" s="384">
        <v>217</v>
      </c>
      <c r="B105" s="1285"/>
      <c r="C105" s="1286"/>
      <c r="D105" s="1279" t="s">
        <v>481</v>
      </c>
      <c r="E105" s="1246" t="s">
        <v>319</v>
      </c>
      <c r="F105" s="1275"/>
      <c r="G105" s="1275">
        <v>1</v>
      </c>
      <c r="H105" s="1272">
        <v>1</v>
      </c>
      <c r="I105" s="1246"/>
      <c r="J105" s="1275"/>
      <c r="K105" s="1275"/>
      <c r="L105" s="1272"/>
      <c r="M105" s="1280">
        <f ca="1">IF(M79&gt;=G105,H105,0)</f>
        <v>0</v>
      </c>
      <c r="N105" s="545"/>
      <c r="O105" s="546"/>
      <c r="S105" s="384"/>
      <c r="T105" s="384"/>
      <c r="U105" s="384"/>
      <c r="V105" s="384"/>
      <c r="W105" s="481"/>
      <c r="AP105" s="1318"/>
      <c r="AQ105" s="23"/>
      <c r="AR105" s="23"/>
      <c r="AS105" s="23"/>
      <c r="AT105" s="23"/>
      <c r="AU105" s="23"/>
      <c r="AV105" s="23"/>
      <c r="AW105" s="23"/>
      <c r="AX105" s="23"/>
    </row>
    <row r="106" spans="1:53" ht="20.100000000000001" customHeight="1" thickBot="1">
      <c r="B106" s="232"/>
      <c r="C106" s="557"/>
      <c r="D106" s="234"/>
      <c r="E106" s="514"/>
      <c r="F106" s="515"/>
      <c r="G106" s="516"/>
      <c r="H106" s="517"/>
      <c r="I106" s="517"/>
      <c r="J106" s="517"/>
      <c r="K106" s="517"/>
      <c r="L106" s="517"/>
      <c r="M106" s="584">
        <f ca="1">SUM(M101:M105)+N101</f>
        <v>0</v>
      </c>
      <c r="N106" s="518"/>
      <c r="O106" s="546"/>
      <c r="S106" s="384"/>
      <c r="T106" s="384"/>
      <c r="U106" s="384"/>
      <c r="V106" s="384"/>
      <c r="W106" s="481"/>
      <c r="AP106" s="565"/>
      <c r="AQ106" s="23"/>
      <c r="AR106" s="23"/>
      <c r="AS106" s="23"/>
      <c r="AT106" s="23"/>
      <c r="AU106" s="23"/>
      <c r="AV106" s="23"/>
      <c r="AW106" s="23"/>
      <c r="AX106" s="23"/>
    </row>
    <row r="107" spans="1:53" ht="20.100000000000001" customHeight="1">
      <c r="A107" s="415"/>
      <c r="B107" s="221"/>
      <c r="C107" s="519" t="s">
        <v>326</v>
      </c>
      <c r="D107" s="432"/>
      <c r="E107" s="494"/>
      <c r="F107" s="497"/>
      <c r="G107" s="496"/>
      <c r="H107" s="495"/>
      <c r="I107" s="495"/>
      <c r="J107" s="495"/>
      <c r="K107" s="495"/>
      <c r="L107" s="495"/>
      <c r="M107" s="494"/>
      <c r="N107" s="498"/>
      <c r="O107" s="403"/>
      <c r="S107" s="384"/>
      <c r="T107" s="384"/>
      <c r="U107" s="384"/>
      <c r="V107" s="384"/>
      <c r="W107" s="1064"/>
      <c r="X107" s="1064"/>
      <c r="Y107" s="1064"/>
      <c r="Z107" s="415"/>
      <c r="AA107" s="415"/>
      <c r="AB107" s="415"/>
      <c r="AC107" s="415"/>
      <c r="AD107" s="415"/>
      <c r="AE107" s="415"/>
      <c r="AF107" s="415"/>
      <c r="AG107" s="415"/>
      <c r="AH107" s="415"/>
      <c r="AI107" s="415"/>
      <c r="AJ107" s="415"/>
      <c r="AK107" s="415"/>
      <c r="AL107" s="415"/>
      <c r="AM107" s="415"/>
      <c r="AN107" s="415"/>
      <c r="AO107" s="415"/>
      <c r="AP107" s="23"/>
      <c r="AQ107" s="23"/>
      <c r="AR107" s="23"/>
      <c r="AS107" s="23"/>
      <c r="AT107" s="23"/>
      <c r="AU107" s="23"/>
      <c r="AV107" s="23"/>
      <c r="AW107" s="23"/>
      <c r="AX107" s="23"/>
    </row>
    <row r="108" spans="1:53" ht="20.100000000000001" customHeight="1">
      <c r="A108" s="1064">
        <v>223</v>
      </c>
      <c r="B108" s="1060"/>
      <c r="C108" s="1287"/>
      <c r="D108" s="1061" t="s">
        <v>327</v>
      </c>
      <c r="E108" s="1246" t="s">
        <v>328</v>
      </c>
      <c r="F108" s="1275">
        <v>50</v>
      </c>
      <c r="G108" s="1275">
        <v>15</v>
      </c>
      <c r="H108" s="1272">
        <v>2</v>
      </c>
      <c r="I108" s="1246" t="s">
        <v>329</v>
      </c>
      <c r="J108" s="1275"/>
      <c r="K108" s="1275">
        <v>50</v>
      </c>
      <c r="L108" s="1288">
        <v>4.0000000000000001E-3</v>
      </c>
      <c r="M108" s="1280">
        <f ca="1">IF(FTE_FTE_Calc&lt;=G108,FTE_FTE_Calc/G108,IF(AND(FTE_FTE_Calc&gt;G108,FTE_FTE_Calc&lt;=K108),2,L108*(FTE_FTE_Calc-K108)+2))</f>
        <v>0</v>
      </c>
      <c r="N108" s="1235">
        <f ca="1">-M109</f>
        <v>0</v>
      </c>
      <c r="O108" s="403"/>
      <c r="S108" s="384"/>
      <c r="T108" s="384"/>
      <c r="U108" s="384"/>
      <c r="V108" s="384"/>
      <c r="W108" s="1064"/>
      <c r="X108" s="1064"/>
      <c r="Y108" s="1064"/>
      <c r="Z108" s="415"/>
      <c r="AA108" s="415"/>
      <c r="AB108" s="415"/>
      <c r="AC108" s="415"/>
      <c r="AD108" s="415"/>
      <c r="AE108" s="415"/>
      <c r="AF108" s="415"/>
      <c r="AG108" s="415"/>
      <c r="AH108" s="415"/>
      <c r="AI108" s="415"/>
      <c r="AJ108" s="415"/>
      <c r="AK108" s="415"/>
      <c r="AL108" s="415"/>
      <c r="AM108" s="415"/>
      <c r="AN108" s="415"/>
      <c r="AO108" s="415"/>
      <c r="AP108" s="23"/>
      <c r="AQ108" s="23"/>
      <c r="AR108" s="23"/>
      <c r="AS108" s="23"/>
      <c r="AT108" s="23"/>
      <c r="AU108" s="23"/>
      <c r="AV108" s="23"/>
      <c r="AW108" s="23"/>
      <c r="AX108" s="23"/>
    </row>
    <row r="109" spans="1:53" ht="20.100000000000001" customHeight="1">
      <c r="A109" s="1064">
        <v>222</v>
      </c>
      <c r="B109" s="1060"/>
      <c r="C109" s="1287"/>
      <c r="D109" s="1279" t="s">
        <v>485</v>
      </c>
      <c r="E109" s="1246" t="s">
        <v>327</v>
      </c>
      <c r="F109" s="1275">
        <v>1</v>
      </c>
      <c r="G109" s="1275"/>
      <c r="H109" s="1272">
        <v>1</v>
      </c>
      <c r="I109" s="1272"/>
      <c r="J109" s="1272"/>
      <c r="K109" s="1272"/>
      <c r="L109" s="1272"/>
      <c r="M109" s="1280">
        <f ca="1">IF(M108&gt;=F109,H109,0)</f>
        <v>0</v>
      </c>
      <c r="N109" s="545"/>
      <c r="O109" s="403"/>
      <c r="S109" s="384"/>
      <c r="T109" s="384"/>
      <c r="U109" s="384"/>
      <c r="V109" s="384"/>
      <c r="W109" s="1064"/>
      <c r="X109" s="1064"/>
      <c r="Y109" s="1064"/>
      <c r="Z109" s="415"/>
      <c r="AA109" s="415"/>
      <c r="AB109" s="415"/>
      <c r="AC109" s="415"/>
      <c r="AD109" s="415"/>
      <c r="AE109" s="415"/>
      <c r="AF109" s="415"/>
      <c r="AG109" s="415"/>
      <c r="AH109" s="415"/>
      <c r="AI109" s="415"/>
      <c r="AJ109" s="415"/>
      <c r="AK109" s="415"/>
      <c r="AL109" s="415"/>
      <c r="AM109" s="415"/>
      <c r="AN109" s="415"/>
      <c r="AO109" s="415"/>
      <c r="AP109" s="23"/>
      <c r="AQ109" s="23"/>
      <c r="AR109" s="23"/>
      <c r="AS109" s="23"/>
      <c r="AT109" s="23"/>
      <c r="AU109" s="23"/>
      <c r="AV109" s="23"/>
      <c r="AW109" s="23"/>
      <c r="AX109" s="23"/>
    </row>
    <row r="110" spans="1:53" ht="20.100000000000001" customHeight="1" thickBot="1">
      <c r="B110" s="232"/>
      <c r="C110" s="557"/>
      <c r="D110" s="234"/>
      <c r="E110" s="514"/>
      <c r="F110" s="515"/>
      <c r="G110" s="516"/>
      <c r="H110" s="517"/>
      <c r="I110" s="517"/>
      <c r="J110" s="517"/>
      <c r="K110" s="517"/>
      <c r="L110" s="517"/>
      <c r="M110" s="584">
        <f ca="1">SUM(M108:M109)+N108</f>
        <v>0</v>
      </c>
      <c r="N110" s="518"/>
      <c r="O110" s="546"/>
      <c r="S110" s="384"/>
      <c r="T110" s="384"/>
      <c r="U110" s="384"/>
      <c r="V110" s="384"/>
      <c r="W110" s="481"/>
      <c r="AP110" s="565"/>
      <c r="AQ110" s="23"/>
      <c r="AR110" s="23"/>
      <c r="AS110" s="23"/>
      <c r="AT110" s="23"/>
      <c r="AU110" s="23"/>
      <c r="AV110" s="23"/>
      <c r="AW110" s="23"/>
      <c r="AX110" s="23"/>
    </row>
    <row r="111" spans="1:53" ht="20.100000000000001" customHeight="1">
      <c r="B111" s="176"/>
      <c r="C111" s="1138" t="s">
        <v>713</v>
      </c>
      <c r="D111" s="177"/>
      <c r="E111" s="494"/>
      <c r="F111" s="496"/>
      <c r="G111" s="496"/>
      <c r="H111" s="548"/>
      <c r="I111" s="548"/>
      <c r="J111" s="548"/>
      <c r="K111" s="548"/>
      <c r="L111" s="548"/>
      <c r="M111" s="494"/>
      <c r="N111" s="498"/>
      <c r="O111" s="546"/>
      <c r="S111" s="384"/>
      <c r="T111" s="384"/>
      <c r="U111" s="384"/>
      <c r="V111" s="384"/>
      <c r="AP111" s="23"/>
      <c r="AQ111" s="23"/>
      <c r="AR111" s="23"/>
      <c r="AS111" s="23"/>
      <c r="AT111" s="23"/>
      <c r="AU111" s="23"/>
      <c r="AV111" s="23"/>
      <c r="AW111" s="23"/>
      <c r="AX111" s="23"/>
      <c r="AY111" s="23"/>
      <c r="AZ111" s="23"/>
      <c r="BA111" s="23"/>
    </row>
    <row r="112" spans="1:53" ht="20.100000000000001" customHeight="1">
      <c r="A112" s="379">
        <v>299</v>
      </c>
      <c r="B112" s="199"/>
      <c r="C112" s="275"/>
      <c r="D112" s="345" t="s">
        <v>704</v>
      </c>
      <c r="E112" s="540" t="s">
        <v>157</v>
      </c>
      <c r="F112" s="542">
        <v>1</v>
      </c>
      <c r="G112" s="542">
        <v>50</v>
      </c>
      <c r="H112" s="544">
        <v>1</v>
      </c>
      <c r="I112" s="544"/>
      <c r="J112" s="544"/>
      <c r="K112" s="544"/>
      <c r="L112" s="544"/>
      <c r="M112" s="544">
        <f>IF(PRCPOs&gt;G112,H112,0)</f>
        <v>0</v>
      </c>
      <c r="N112" s="545"/>
      <c r="O112" s="546"/>
      <c r="S112" s="384"/>
      <c r="T112" s="384"/>
      <c r="U112" s="384"/>
      <c r="V112" s="384"/>
      <c r="AP112" s="23"/>
      <c r="AQ112" s="23"/>
      <c r="AR112" s="23"/>
      <c r="AS112" s="23"/>
      <c r="AT112" s="23"/>
      <c r="AU112" s="23"/>
      <c r="AV112" s="23"/>
      <c r="AW112" s="23"/>
      <c r="AX112" s="23"/>
      <c r="AY112" s="23"/>
      <c r="AZ112" s="23"/>
      <c r="BA112" s="23"/>
    </row>
    <row r="113" spans="1:55" ht="20.100000000000001" customHeight="1">
      <c r="A113" s="379">
        <v>300</v>
      </c>
      <c r="B113" s="199"/>
      <c r="C113" s="275"/>
      <c r="D113" s="345" t="s">
        <v>645</v>
      </c>
      <c r="E113" s="540" t="s">
        <v>647</v>
      </c>
      <c r="F113" s="542"/>
      <c r="G113" s="542">
        <v>0</v>
      </c>
      <c r="H113" s="544">
        <v>1</v>
      </c>
      <c r="I113" s="544"/>
      <c r="J113" s="544"/>
      <c r="K113" s="544"/>
      <c r="L113" s="544"/>
      <c r="M113" s="544">
        <f>IF(RCIS=1,0,H113*(FAC_INFO_FAC_TYPE&lt;&gt;1))</f>
        <v>0</v>
      </c>
      <c r="N113" s="545"/>
      <c r="O113" s="546"/>
      <c r="S113" s="384"/>
      <c r="T113" s="384"/>
      <c r="U113" s="384"/>
      <c r="V113" s="384"/>
      <c r="AP113" s="23"/>
      <c r="AQ113" s="23"/>
      <c r="AR113" s="23"/>
      <c r="AS113" s="23"/>
      <c r="AT113" s="23"/>
      <c r="AU113" s="23"/>
      <c r="AV113" s="23"/>
      <c r="AW113" s="23"/>
      <c r="AX113" s="23"/>
      <c r="AY113" s="23"/>
      <c r="AZ113" s="23"/>
      <c r="BA113" s="23"/>
    </row>
    <row r="114" spans="1:55" ht="20.100000000000001" customHeight="1">
      <c r="A114" s="379">
        <v>298</v>
      </c>
      <c r="B114" s="199"/>
      <c r="C114" s="275"/>
      <c r="D114" s="345" t="s">
        <v>798</v>
      </c>
      <c r="E114" s="540" t="s">
        <v>705</v>
      </c>
      <c r="F114" s="542">
        <v>2</v>
      </c>
      <c r="G114" s="542"/>
      <c r="H114" s="544">
        <v>1</v>
      </c>
      <c r="I114" s="544"/>
      <c r="J114" s="544"/>
      <c r="K114" s="544"/>
      <c r="L114" s="544"/>
      <c r="M114" s="544">
        <f>IF(M115&gt;=F114,INT(M115/F114),0)</f>
        <v>0</v>
      </c>
      <c r="N114" s="545"/>
      <c r="O114" s="546" t="s">
        <v>799</v>
      </c>
      <c r="S114" s="384"/>
      <c r="T114" s="384"/>
      <c r="U114" s="384"/>
      <c r="V114" s="384"/>
      <c r="AP114" s="23"/>
      <c r="AQ114" s="23"/>
      <c r="AR114" s="23"/>
      <c r="AS114" s="23"/>
      <c r="AT114" s="23"/>
      <c r="AU114" s="23"/>
      <c r="AV114" s="23"/>
      <c r="AW114" s="23"/>
      <c r="AX114" s="23"/>
      <c r="AY114" s="23"/>
      <c r="AZ114" s="23"/>
      <c r="BA114" s="23"/>
    </row>
    <row r="115" spans="1:55" ht="20.100000000000001" customHeight="1">
      <c r="A115" s="379">
        <v>297</v>
      </c>
      <c r="B115" s="199"/>
      <c r="C115" s="275"/>
      <c r="D115" s="345" t="s">
        <v>705</v>
      </c>
      <c r="E115" s="540" t="s">
        <v>330</v>
      </c>
      <c r="F115" s="542">
        <v>700</v>
      </c>
      <c r="G115" s="542">
        <v>50</v>
      </c>
      <c r="H115" s="544">
        <v>1</v>
      </c>
      <c r="I115" s="544"/>
      <c r="J115" s="544"/>
      <c r="K115" s="544"/>
      <c r="L115" s="544"/>
      <c r="M115" s="544">
        <f>IF(PRCPOs&lt;G115,0,PRCPOs/F115*H115)</f>
        <v>0</v>
      </c>
      <c r="N115" s="1235">
        <f>-M114</f>
        <v>0</v>
      </c>
      <c r="O115" s="558"/>
      <c r="P115" s="546"/>
      <c r="S115" s="384"/>
      <c r="T115" s="384"/>
      <c r="U115" s="384"/>
      <c r="V115" s="384"/>
      <c r="AP115" s="23"/>
      <c r="AQ115" s="23"/>
      <c r="AR115" s="23"/>
      <c r="AS115" s="23"/>
      <c r="AT115" s="23"/>
      <c r="AU115" s="23"/>
      <c r="AV115" s="23"/>
      <c r="AW115" s="23"/>
      <c r="AX115" s="23"/>
      <c r="AY115" s="23"/>
      <c r="AZ115" s="23"/>
      <c r="BA115" s="23"/>
      <c r="BB115" s="565"/>
      <c r="BC115" s="565"/>
    </row>
    <row r="116" spans="1:55" ht="20.100000000000001" customHeight="1" thickBot="1">
      <c r="B116" s="232"/>
      <c r="C116" s="537"/>
      <c r="D116" s="234"/>
      <c r="E116" s="514"/>
      <c r="F116" s="515"/>
      <c r="G116" s="516"/>
      <c r="H116" s="517"/>
      <c r="I116" s="517"/>
      <c r="J116" s="517"/>
      <c r="K116" s="517"/>
      <c r="L116" s="517"/>
      <c r="M116" s="584">
        <f>SUM(M112:M115)+N115</f>
        <v>0</v>
      </c>
      <c r="N116" s="518"/>
      <c r="O116" s="558"/>
      <c r="P116" s="546"/>
      <c r="S116" s="384"/>
      <c r="T116" s="384"/>
      <c r="U116" s="384"/>
      <c r="V116" s="384"/>
      <c r="AP116" s="23"/>
      <c r="AQ116" s="23"/>
      <c r="AR116" s="23"/>
      <c r="AS116" s="23"/>
      <c r="AT116" s="23"/>
      <c r="AU116" s="23"/>
      <c r="AV116" s="23"/>
      <c r="AW116" s="23"/>
      <c r="AX116" s="23"/>
      <c r="AY116" s="23"/>
      <c r="AZ116" s="23"/>
      <c r="BA116" s="23"/>
      <c r="BB116" s="565"/>
      <c r="BC116" s="565"/>
    </row>
    <row r="117" spans="1:55" ht="20.100000000000001" customHeight="1">
      <c r="A117" s="415"/>
      <c r="B117" s="221"/>
      <c r="C117" s="519" t="s">
        <v>331</v>
      </c>
      <c r="D117" s="432"/>
      <c r="E117" s="494"/>
      <c r="F117" s="497"/>
      <c r="G117" s="496"/>
      <c r="H117" s="495"/>
      <c r="I117" s="495"/>
      <c r="J117" s="495"/>
      <c r="K117" s="495"/>
      <c r="L117" s="495"/>
      <c r="M117" s="494"/>
      <c r="N117" s="498"/>
      <c r="O117" s="525"/>
      <c r="S117" s="384"/>
      <c r="T117" s="384"/>
      <c r="U117" s="384"/>
      <c r="V117" s="384"/>
      <c r="W117" s="928"/>
      <c r="X117" s="1064"/>
      <c r="Y117" s="1064"/>
      <c r="Z117" s="415"/>
      <c r="AA117" s="415"/>
      <c r="AB117" s="415"/>
      <c r="AC117" s="415"/>
      <c r="AD117" s="415"/>
      <c r="AE117" s="415"/>
      <c r="AF117" s="415"/>
      <c r="AG117" s="415"/>
      <c r="AH117" s="415"/>
      <c r="AI117" s="415"/>
      <c r="AJ117" s="415"/>
      <c r="AK117" s="415"/>
      <c r="AL117" s="415"/>
      <c r="AM117" s="415"/>
      <c r="AN117" s="415"/>
      <c r="AO117" s="415"/>
      <c r="AP117" s="565"/>
      <c r="AQ117" s="23"/>
      <c r="AR117" s="23"/>
      <c r="AS117" s="23"/>
      <c r="AT117" s="23"/>
      <c r="AU117" s="23"/>
      <c r="AV117" s="23"/>
      <c r="AW117" s="23"/>
      <c r="AX117" s="23"/>
      <c r="AY117" s="23"/>
      <c r="AZ117" s="23"/>
      <c r="BA117" s="23"/>
      <c r="BB117" s="565"/>
      <c r="BC117" s="565"/>
    </row>
    <row r="118" spans="1:55" ht="20.100000000000001" customHeight="1">
      <c r="A118" s="379">
        <v>243</v>
      </c>
      <c r="B118" s="199"/>
      <c r="C118" s="226"/>
      <c r="D118" s="183" t="s">
        <v>332</v>
      </c>
      <c r="E118" s="349" t="s">
        <v>157</v>
      </c>
      <c r="F118" s="347">
        <v>1</v>
      </c>
      <c r="G118" s="347">
        <v>0</v>
      </c>
      <c r="H118" s="348">
        <v>1</v>
      </c>
      <c r="I118" s="348"/>
      <c r="J118" s="348"/>
      <c r="K118" s="348"/>
      <c r="L118" s="348"/>
      <c r="M118" s="330">
        <f>IF(OPV&gt;G118,H118,0)*(FAC_INFO_FAC_TYPE&lt;&gt;1)</f>
        <v>0</v>
      </c>
      <c r="N118" s="1238"/>
      <c r="O118" s="385" t="s">
        <v>333</v>
      </c>
      <c r="S118" s="384"/>
      <c r="T118" s="384"/>
      <c r="U118" s="384"/>
      <c r="V118" s="384"/>
      <c r="W118" s="481"/>
      <c r="AP118" s="565"/>
      <c r="AQ118" s="23"/>
      <c r="AR118" s="23"/>
      <c r="AS118" s="23"/>
      <c r="AT118" s="23"/>
      <c r="AU118" s="23"/>
      <c r="AV118" s="23"/>
      <c r="AW118" s="23"/>
      <c r="AX118" s="23"/>
      <c r="AY118" s="23"/>
      <c r="AZ118" s="23"/>
      <c r="BA118" s="23"/>
      <c r="BB118" s="565"/>
      <c r="BC118" s="565"/>
    </row>
    <row r="119" spans="1:55" s="415" customFormat="1" ht="20.100000000000001" customHeight="1">
      <c r="A119" s="379">
        <v>242</v>
      </c>
      <c r="B119" s="199"/>
      <c r="C119" s="226"/>
      <c r="D119" s="183" t="s">
        <v>334</v>
      </c>
      <c r="E119" s="349" t="s">
        <v>157</v>
      </c>
      <c r="F119" s="347">
        <v>1</v>
      </c>
      <c r="G119" s="347"/>
      <c r="H119" s="348">
        <v>1</v>
      </c>
      <c r="I119" s="349" t="s">
        <v>56</v>
      </c>
      <c r="J119" s="347">
        <v>2000</v>
      </c>
      <c r="K119" s="347"/>
      <c r="L119" s="348">
        <v>1</v>
      </c>
      <c r="M119" s="330">
        <f>H119*(FAC_INFO_FAC_TYPE&lt;&gt;1)+IF(AdmitOverride&gt;Admits,AdmitOverride/J119*H119,Admits/J119*H119)+IF(OPV&gt;G120,(OPV-G120)/F120*H120,0)</f>
        <v>0</v>
      </c>
      <c r="N119" s="1238"/>
      <c r="O119" s="385"/>
      <c r="R119" s="384"/>
      <c r="S119" s="384"/>
      <c r="T119" s="384"/>
      <c r="U119" s="384"/>
      <c r="V119" s="384"/>
      <c r="W119" s="481"/>
      <c r="X119" s="384"/>
      <c r="Y119" s="384"/>
      <c r="Z119" s="379"/>
      <c r="AA119" s="379"/>
      <c r="AB119" s="379"/>
      <c r="AC119" s="379"/>
      <c r="AD119" s="379"/>
      <c r="AE119" s="379"/>
      <c r="AF119" s="379"/>
      <c r="AG119" s="379"/>
      <c r="AH119" s="379"/>
      <c r="AI119" s="379"/>
      <c r="AJ119" s="379"/>
      <c r="AK119" s="379"/>
      <c r="AL119" s="379"/>
      <c r="AM119" s="379"/>
      <c r="AN119" s="379"/>
      <c r="AO119" s="379"/>
      <c r="AP119" s="565"/>
      <c r="AQ119" s="23"/>
      <c r="AR119" s="23"/>
      <c r="AS119" s="23"/>
      <c r="AT119" s="23"/>
      <c r="AU119" s="23"/>
      <c r="AV119" s="23"/>
      <c r="AW119" s="23"/>
      <c r="AX119" s="23"/>
      <c r="AY119" s="23"/>
      <c r="AZ119" s="23"/>
      <c r="BA119" s="23"/>
      <c r="BB119" s="565"/>
      <c r="BC119" s="565"/>
    </row>
    <row r="120" spans="1:55" ht="20.100000000000001" customHeight="1">
      <c r="B120" s="199"/>
      <c r="C120" s="226"/>
      <c r="D120" s="183"/>
      <c r="E120" s="349" t="s">
        <v>335</v>
      </c>
      <c r="F120" s="347">
        <v>10000</v>
      </c>
      <c r="G120" s="347">
        <v>20000</v>
      </c>
      <c r="H120" s="348">
        <v>1</v>
      </c>
      <c r="I120" s="348"/>
      <c r="J120" s="348"/>
      <c r="K120" s="348"/>
      <c r="L120" s="348"/>
      <c r="M120" s="330"/>
      <c r="N120" s="1238"/>
      <c r="O120" s="385"/>
      <c r="S120" s="384"/>
      <c r="T120" s="384"/>
      <c r="U120" s="384"/>
      <c r="V120" s="384"/>
      <c r="W120" s="481"/>
      <c r="AP120" s="565"/>
      <c r="AQ120" s="23"/>
      <c r="AR120" s="23"/>
      <c r="AS120" s="23"/>
      <c r="AT120" s="23"/>
      <c r="AU120" s="23"/>
      <c r="AV120" s="23"/>
      <c r="AW120" s="23"/>
      <c r="AX120" s="23"/>
      <c r="AY120" s="23"/>
      <c r="AZ120" s="23"/>
      <c r="BA120" s="23"/>
      <c r="BB120" s="565"/>
      <c r="BC120" s="565"/>
    </row>
    <row r="121" spans="1:55" ht="20.100000000000001" customHeight="1">
      <c r="A121" s="379">
        <v>241</v>
      </c>
      <c r="B121" s="199"/>
      <c r="C121" s="226"/>
      <c r="D121" s="183" t="s">
        <v>336</v>
      </c>
      <c r="E121" s="349" t="s">
        <v>157</v>
      </c>
      <c r="F121" s="347">
        <v>1</v>
      </c>
      <c r="G121" s="347"/>
      <c r="H121" s="348">
        <v>1</v>
      </c>
      <c r="I121" s="349" t="s">
        <v>591</v>
      </c>
      <c r="J121" s="347">
        <v>30000</v>
      </c>
      <c r="K121" s="347">
        <v>10000</v>
      </c>
      <c r="L121" s="348">
        <v>1</v>
      </c>
      <c r="M121" s="330">
        <f>H121*(FAC_INFO_FAC_TYPE&lt;&gt;1)+IF(OPV&gt;K121,(OPV-K121)/J121*L121,0)</f>
        <v>0</v>
      </c>
      <c r="N121" s="1238"/>
      <c r="O121" s="385"/>
      <c r="S121" s="384"/>
      <c r="T121" s="384"/>
      <c r="U121" s="384"/>
      <c r="V121" s="384"/>
      <c r="W121" s="481"/>
      <c r="AP121" s="565"/>
      <c r="AQ121" s="23"/>
      <c r="AR121" s="23"/>
      <c r="AS121" s="23"/>
      <c r="AT121" s="23"/>
      <c r="AU121" s="23"/>
      <c r="AV121" s="23"/>
      <c r="AW121" s="23"/>
      <c r="AX121" s="23"/>
      <c r="AY121" s="23"/>
      <c r="AZ121" s="23"/>
      <c r="BA121" s="23"/>
      <c r="BB121" s="565"/>
      <c r="BC121" s="565"/>
    </row>
    <row r="122" spans="1:55" ht="20.100000000000001" customHeight="1">
      <c r="A122" s="379">
        <v>245</v>
      </c>
      <c r="B122" s="199"/>
      <c r="C122" s="226"/>
      <c r="D122" s="183" t="s">
        <v>648</v>
      </c>
      <c r="E122" s="349" t="s">
        <v>157</v>
      </c>
      <c r="F122" s="347">
        <v>1</v>
      </c>
      <c r="G122" s="347">
        <v>0</v>
      </c>
      <c r="H122" s="348">
        <v>1</v>
      </c>
      <c r="I122" s="348"/>
      <c r="J122" s="348"/>
      <c r="K122" s="348"/>
      <c r="L122" s="348"/>
      <c r="M122" s="330">
        <f>IF(OPV&gt;G122,H122,0)</f>
        <v>0</v>
      </c>
      <c r="N122" s="1238"/>
      <c r="O122" s="385"/>
      <c r="S122" s="384"/>
      <c r="T122" s="384"/>
      <c r="U122" s="384"/>
      <c r="V122" s="384"/>
      <c r="W122" s="481"/>
      <c r="AP122" s="565"/>
      <c r="AQ122" s="23"/>
      <c r="AR122" s="23"/>
      <c r="AS122" s="23"/>
      <c r="AT122" s="23"/>
      <c r="AU122" s="23"/>
      <c r="AV122" s="23"/>
      <c r="AW122" s="23"/>
      <c r="AX122" s="23"/>
      <c r="AY122" s="23"/>
      <c r="AZ122" s="23"/>
      <c r="BA122" s="23"/>
      <c r="BB122" s="565"/>
      <c r="BC122" s="565"/>
    </row>
    <row r="123" spans="1:55" ht="20.100000000000001" customHeight="1">
      <c r="A123" s="379">
        <v>244</v>
      </c>
      <c r="B123" s="199"/>
      <c r="C123" s="226"/>
      <c r="D123" s="183" t="s">
        <v>804</v>
      </c>
      <c r="E123" s="349" t="s">
        <v>157</v>
      </c>
      <c r="F123" s="347">
        <v>1</v>
      </c>
      <c r="G123" s="347"/>
      <c r="H123" s="348">
        <v>1</v>
      </c>
      <c r="I123" s="349" t="s">
        <v>496</v>
      </c>
      <c r="J123" s="347">
        <v>10000</v>
      </c>
      <c r="K123" s="347">
        <v>10000</v>
      </c>
      <c r="L123" s="348">
        <v>1</v>
      </c>
      <c r="M123" s="330">
        <f>H123*(FAC_INFO_FAC_TYPE&lt;&gt;1)
+IF(Admits&gt;G124,Admits/F124*H124)
+IF(OPV&gt;K123,(OPV-K123)/J123*L123)</f>
        <v>0</v>
      </c>
      <c r="N123" s="1235">
        <f>-M103</f>
        <v>0</v>
      </c>
      <c r="O123" s="385"/>
      <c r="S123" s="384"/>
      <c r="T123" s="384"/>
      <c r="U123" s="384"/>
      <c r="V123" s="384"/>
      <c r="W123" s="481"/>
      <c r="AP123" s="565"/>
      <c r="AQ123" s="23"/>
      <c r="AR123" s="23"/>
      <c r="AS123" s="23"/>
      <c r="AT123" s="23"/>
      <c r="AU123" s="23"/>
      <c r="AV123" s="23"/>
      <c r="AW123" s="23"/>
      <c r="AX123" s="23"/>
      <c r="AY123" s="23"/>
      <c r="AZ123" s="23"/>
      <c r="BA123" s="23"/>
      <c r="BB123" s="565"/>
      <c r="BC123" s="565"/>
    </row>
    <row r="124" spans="1:55" ht="20.100000000000001" customHeight="1">
      <c r="B124" s="199"/>
      <c r="C124" s="226"/>
      <c r="D124" s="183"/>
      <c r="E124" s="349" t="s">
        <v>56</v>
      </c>
      <c r="F124" s="347">
        <v>2000</v>
      </c>
      <c r="G124" s="347">
        <v>0</v>
      </c>
      <c r="H124" s="348">
        <v>1</v>
      </c>
      <c r="I124" s="348"/>
      <c r="J124" s="348"/>
      <c r="K124" s="348"/>
      <c r="L124" s="348"/>
      <c r="M124" s="330"/>
      <c r="N124" s="1238"/>
      <c r="O124" s="549"/>
      <c r="S124" s="384"/>
      <c r="T124" s="384"/>
      <c r="U124" s="384"/>
      <c r="V124" s="384"/>
      <c r="W124" s="481"/>
      <c r="AP124" s="565"/>
      <c r="AQ124" s="23"/>
      <c r="AR124" s="23"/>
      <c r="AS124" s="23"/>
      <c r="AT124" s="23"/>
      <c r="AU124" s="23"/>
      <c r="AV124" s="23"/>
      <c r="AW124" s="23"/>
      <c r="AX124" s="23"/>
      <c r="AY124" s="23"/>
      <c r="AZ124" s="23"/>
      <c r="BA124" s="23"/>
      <c r="BB124" s="565"/>
      <c r="BC124" s="565"/>
    </row>
    <row r="125" spans="1:55" ht="20.100000000000001" customHeight="1" thickBot="1">
      <c r="B125" s="232"/>
      <c r="C125" s="233"/>
      <c r="D125" s="234"/>
      <c r="E125" s="514"/>
      <c r="F125" s="515"/>
      <c r="G125" s="516"/>
      <c r="H125" s="517"/>
      <c r="I125" s="517"/>
      <c r="J125" s="517"/>
      <c r="K125" s="517"/>
      <c r="L125" s="517"/>
      <c r="M125" s="585">
        <f>SUM(M118:M124)+N123</f>
        <v>0</v>
      </c>
      <c r="N125" s="518"/>
      <c r="O125" s="381"/>
      <c r="S125" s="384"/>
      <c r="T125" s="384"/>
      <c r="U125" s="384"/>
      <c r="V125" s="384"/>
      <c r="W125" s="481"/>
      <c r="AP125" s="565"/>
      <c r="AQ125" s="23"/>
      <c r="AR125" s="23"/>
      <c r="AS125" s="23"/>
      <c r="AT125" s="23"/>
      <c r="AU125" s="23"/>
      <c r="AV125" s="23"/>
      <c r="AW125" s="23"/>
      <c r="AX125" s="23"/>
      <c r="AY125" s="23"/>
      <c r="AZ125" s="23"/>
      <c r="BA125" s="23"/>
      <c r="BB125" s="565"/>
      <c r="BC125" s="565"/>
    </row>
    <row r="126" spans="1:55" ht="19.5" customHeight="1">
      <c r="A126" s="415"/>
      <c r="B126" s="221"/>
      <c r="C126" s="519" t="s">
        <v>589</v>
      </c>
      <c r="D126" s="432"/>
      <c r="E126" s="494"/>
      <c r="F126" s="496"/>
      <c r="G126" s="496"/>
      <c r="H126" s="548"/>
      <c r="I126" s="548"/>
      <c r="J126" s="548"/>
      <c r="K126" s="548"/>
      <c r="L126" s="548"/>
      <c r="M126" s="548"/>
      <c r="N126" s="498"/>
      <c r="O126" s="559"/>
      <c r="S126" s="384"/>
      <c r="T126" s="384"/>
      <c r="U126" s="384"/>
      <c r="V126" s="384"/>
      <c r="W126" s="928"/>
      <c r="X126" s="1064"/>
      <c r="Y126" s="1064"/>
      <c r="Z126" s="415"/>
      <c r="AA126" s="415"/>
      <c r="AB126" s="415"/>
      <c r="AC126" s="415"/>
      <c r="AD126" s="415"/>
      <c r="AE126" s="415"/>
      <c r="AF126" s="415"/>
      <c r="AG126" s="415"/>
      <c r="AH126" s="415"/>
      <c r="AI126" s="415"/>
      <c r="AJ126" s="415"/>
      <c r="AK126" s="415"/>
      <c r="AL126" s="415"/>
      <c r="AM126" s="415"/>
      <c r="AN126" s="415"/>
      <c r="AO126" s="415"/>
      <c r="AP126" s="565"/>
      <c r="AQ126" s="23"/>
      <c r="AR126" s="23"/>
      <c r="AS126" s="23"/>
      <c r="AT126" s="23"/>
      <c r="AU126" s="23"/>
      <c r="AV126" s="23"/>
      <c r="AW126" s="23"/>
      <c r="AX126" s="23"/>
      <c r="AY126" s="23"/>
      <c r="AZ126" s="23"/>
      <c r="BA126" s="23"/>
      <c r="BB126" s="565"/>
      <c r="BC126" s="565"/>
    </row>
    <row r="127" spans="1:55" ht="20.100000000000001" customHeight="1">
      <c r="A127" s="379">
        <v>184</v>
      </c>
      <c r="B127" s="199"/>
      <c r="C127" s="535"/>
      <c r="D127" s="183" t="s">
        <v>590</v>
      </c>
      <c r="E127" s="229" t="s">
        <v>157</v>
      </c>
      <c r="F127" s="328">
        <v>1</v>
      </c>
      <c r="G127" s="328"/>
      <c r="H127" s="228">
        <v>0.5</v>
      </c>
      <c r="I127" s="229" t="s">
        <v>496</v>
      </c>
      <c r="J127" s="347">
        <v>20000</v>
      </c>
      <c r="K127" s="347">
        <v>50000</v>
      </c>
      <c r="L127" s="348">
        <v>0.25</v>
      </c>
      <c r="M127" s="330">
        <f>H127*(FAC_INFO_FAC_TYPE&lt;&gt;1)+IF(OPV&gt;K127,(OPV-K127)/J127*L127,0)</f>
        <v>0</v>
      </c>
      <c r="N127" s="1238"/>
      <c r="O127" s="381"/>
      <c r="S127" s="384"/>
      <c r="T127" s="384"/>
      <c r="U127" s="384"/>
      <c r="V127" s="384"/>
      <c r="W127" s="481"/>
      <c r="AP127" s="565"/>
      <c r="AQ127" s="23"/>
      <c r="AR127" s="23"/>
      <c r="AS127" s="23"/>
      <c r="AT127" s="23"/>
      <c r="AU127" s="23"/>
      <c r="AV127" s="23"/>
      <c r="AW127" s="23"/>
      <c r="AX127" s="23"/>
      <c r="AY127" s="23"/>
      <c r="AZ127" s="23"/>
      <c r="BA127" s="23"/>
      <c r="BB127" s="565"/>
      <c r="BC127" s="565"/>
    </row>
    <row r="128" spans="1:55" ht="20.100000000000001" customHeight="1" thickBot="1">
      <c r="B128" s="232"/>
      <c r="C128" s="537"/>
      <c r="D128" s="234"/>
      <c r="E128" s="514"/>
      <c r="F128" s="515"/>
      <c r="G128" s="516"/>
      <c r="H128" s="517"/>
      <c r="I128" s="517"/>
      <c r="J128" s="517"/>
      <c r="K128" s="517"/>
      <c r="L128" s="517"/>
      <c r="M128" s="585">
        <f>M127</f>
        <v>0</v>
      </c>
      <c r="N128" s="1242"/>
      <c r="O128" s="381"/>
      <c r="S128" s="384"/>
      <c r="T128" s="384"/>
      <c r="U128" s="384"/>
      <c r="V128" s="384"/>
      <c r="W128" s="481"/>
      <c r="AP128" s="565"/>
      <c r="AQ128" s="23"/>
      <c r="AR128" s="23"/>
      <c r="AS128" s="23"/>
      <c r="AT128" s="23"/>
      <c r="AU128" s="23"/>
      <c r="AV128" s="23"/>
      <c r="AW128" s="23"/>
      <c r="AX128" s="23"/>
      <c r="AY128" s="23"/>
      <c r="AZ128" s="23"/>
      <c r="BA128" s="23"/>
      <c r="BB128" s="565"/>
      <c r="BC128" s="565"/>
    </row>
    <row r="129" spans="1:55" ht="19.5" customHeight="1">
      <c r="A129" s="415"/>
      <c r="B129" s="221"/>
      <c r="C129" s="519" t="s">
        <v>584</v>
      </c>
      <c r="D129" s="432"/>
      <c r="E129" s="494"/>
      <c r="F129" s="496"/>
      <c r="G129" s="496"/>
      <c r="H129" s="548"/>
      <c r="I129" s="548"/>
      <c r="J129" s="548"/>
      <c r="K129" s="548"/>
      <c r="L129" s="548"/>
      <c r="M129" s="548"/>
      <c r="N129" s="1243"/>
      <c r="O129" s="559"/>
      <c r="S129" s="384"/>
      <c r="T129" s="384"/>
      <c r="U129" s="384"/>
      <c r="V129" s="384"/>
      <c r="W129" s="928"/>
      <c r="X129" s="1064"/>
      <c r="Y129" s="1064"/>
      <c r="Z129" s="415"/>
      <c r="AA129" s="415"/>
      <c r="AB129" s="415"/>
      <c r="AC129" s="415"/>
      <c r="AD129" s="415"/>
      <c r="AE129" s="415"/>
      <c r="AF129" s="415"/>
      <c r="AG129" s="415"/>
      <c r="AH129" s="415"/>
      <c r="AI129" s="415"/>
      <c r="AJ129" s="415"/>
      <c r="AK129" s="415"/>
      <c r="AL129" s="415"/>
      <c r="AM129" s="415"/>
      <c r="AN129" s="415"/>
      <c r="AO129" s="415"/>
      <c r="AP129" s="565"/>
      <c r="AQ129" s="23"/>
      <c r="AR129" s="23"/>
      <c r="AS129" s="23"/>
      <c r="AT129" s="23"/>
      <c r="AU129" s="23"/>
      <c r="AV129" s="23"/>
      <c r="AW129" s="23"/>
      <c r="AX129" s="23"/>
      <c r="AY129" s="23"/>
      <c r="AZ129" s="23"/>
      <c r="BA129" s="23"/>
      <c r="BB129" s="565"/>
      <c r="BC129" s="565"/>
    </row>
    <row r="130" spans="1:55" ht="20.100000000000001" customHeight="1">
      <c r="A130" s="379">
        <v>274</v>
      </c>
      <c r="B130" s="199"/>
      <c r="C130" s="535"/>
      <c r="D130" s="183" t="s">
        <v>489</v>
      </c>
      <c r="E130" s="229" t="s">
        <v>319</v>
      </c>
      <c r="F130" s="328">
        <v>45</v>
      </c>
      <c r="G130" s="328">
        <v>1</v>
      </c>
      <c r="H130" s="228">
        <v>1</v>
      </c>
      <c r="I130" s="229"/>
      <c r="J130" s="328"/>
      <c r="K130" s="328"/>
      <c r="L130" s="228"/>
      <c r="M130" s="230">
        <f ca="1">(FTE_FTE_Calc/F130*H130)*(FAC_INFO_FAC_TYPE&lt;&gt;1)</f>
        <v>0</v>
      </c>
      <c r="N130" s="1235">
        <f ca="1">-SUM(M131:M135)</f>
        <v>0</v>
      </c>
      <c r="O130" s="381"/>
      <c r="S130" s="384"/>
      <c r="T130" s="384"/>
      <c r="U130" s="384"/>
      <c r="V130" s="384"/>
      <c r="W130" s="481"/>
      <c r="AP130" s="565"/>
      <c r="AQ130" s="23"/>
      <c r="AR130" s="23"/>
      <c r="AS130" s="23"/>
      <c r="AT130" s="23"/>
      <c r="AU130" s="23"/>
      <c r="AV130" s="23"/>
      <c r="AW130" s="23"/>
      <c r="AX130" s="23"/>
      <c r="AY130" s="23"/>
      <c r="AZ130" s="23"/>
      <c r="BA130" s="23"/>
      <c r="BB130" s="565"/>
      <c r="BC130" s="565"/>
    </row>
    <row r="131" spans="1:55" ht="20.100000000000001" customHeight="1">
      <c r="A131" s="379">
        <v>275</v>
      </c>
      <c r="B131" s="199"/>
      <c r="C131" s="535"/>
      <c r="D131" s="183" t="s">
        <v>490</v>
      </c>
      <c r="E131" s="229" t="s">
        <v>801</v>
      </c>
      <c r="F131" s="328">
        <v>1</v>
      </c>
      <c r="G131" s="328"/>
      <c r="H131" s="228">
        <v>1</v>
      </c>
      <c r="I131" s="229"/>
      <c r="J131" s="328"/>
      <c r="K131" s="328"/>
      <c r="L131" s="228"/>
      <c r="M131" s="230">
        <f ca="1">IF($M$130&gt;=F131,H131,0)</f>
        <v>0</v>
      </c>
      <c r="N131" s="1238"/>
      <c r="O131" s="1246" t="s">
        <v>802</v>
      </c>
      <c r="S131" s="384"/>
      <c r="T131" s="384"/>
      <c r="U131" s="384"/>
      <c r="V131" s="384"/>
      <c r="W131" s="481"/>
      <c r="AP131" s="565"/>
      <c r="AQ131" s="23"/>
      <c r="AR131" s="23"/>
      <c r="AS131" s="23"/>
      <c r="AT131" s="23"/>
      <c r="AU131" s="23"/>
      <c r="AV131" s="23"/>
      <c r="AW131" s="23"/>
      <c r="AX131" s="23"/>
      <c r="AY131" s="23"/>
      <c r="AZ131" s="23"/>
      <c r="BA131" s="23"/>
      <c r="BB131" s="565"/>
      <c r="BC131" s="565"/>
    </row>
    <row r="132" spans="1:55" ht="20.100000000000001" customHeight="1">
      <c r="A132" s="379">
        <v>271</v>
      </c>
      <c r="B132" s="199"/>
      <c r="C132" s="535"/>
      <c r="D132" s="183" t="s">
        <v>486</v>
      </c>
      <c r="E132" s="229" t="s">
        <v>801</v>
      </c>
      <c r="F132" s="328">
        <v>3</v>
      </c>
      <c r="G132" s="328"/>
      <c r="H132" s="228">
        <v>1</v>
      </c>
      <c r="I132" s="229"/>
      <c r="J132" s="328"/>
      <c r="K132" s="328"/>
      <c r="L132" s="228"/>
      <c r="M132" s="230">
        <f ca="1">IF($M$130&gt;=F132,H132,0)</f>
        <v>0</v>
      </c>
      <c r="N132" s="1238"/>
      <c r="O132" s="1246" t="s">
        <v>802</v>
      </c>
      <c r="S132" s="384"/>
      <c r="T132" s="384"/>
      <c r="U132" s="384"/>
      <c r="V132" s="384"/>
      <c r="W132" s="481"/>
      <c r="AP132" s="565"/>
      <c r="AQ132" s="23"/>
      <c r="AR132" s="23"/>
      <c r="AS132" s="23"/>
      <c r="AT132" s="23"/>
      <c r="AU132" s="23"/>
      <c r="AV132" s="23"/>
      <c r="AW132" s="23"/>
      <c r="AX132" s="23"/>
      <c r="AY132" s="23"/>
      <c r="AZ132" s="23"/>
      <c r="BA132" s="23"/>
      <c r="BB132" s="565"/>
      <c r="BC132" s="565"/>
    </row>
    <row r="133" spans="1:55" ht="20.100000000000001" customHeight="1">
      <c r="A133" s="379">
        <v>277</v>
      </c>
      <c r="B133" s="199"/>
      <c r="C133" s="535"/>
      <c r="D133" s="183" t="s">
        <v>800</v>
      </c>
      <c r="E133" s="229" t="s">
        <v>801</v>
      </c>
      <c r="F133" s="328">
        <v>2</v>
      </c>
      <c r="G133" s="328"/>
      <c r="H133" s="228">
        <v>1</v>
      </c>
      <c r="I133" s="229"/>
      <c r="J133" s="328"/>
      <c r="K133" s="328"/>
      <c r="L133" s="228"/>
      <c r="M133" s="230">
        <f t="shared" ref="M133:M135" ca="1" si="0">IF($M$130&gt;=F133,H133,0)</f>
        <v>0</v>
      </c>
      <c r="N133" s="1238"/>
      <c r="O133" s="1246" t="s">
        <v>802</v>
      </c>
      <c r="S133" s="384"/>
      <c r="T133" s="384"/>
      <c r="U133" s="384"/>
      <c r="V133" s="384"/>
      <c r="W133" s="481"/>
      <c r="AP133" s="565"/>
      <c r="AQ133" s="23"/>
      <c r="AR133" s="23"/>
      <c r="AS133" s="23"/>
      <c r="AT133" s="23"/>
      <c r="AU133" s="23"/>
      <c r="AV133" s="23"/>
      <c r="AW133" s="23"/>
      <c r="AX133" s="23"/>
      <c r="AY133" s="23"/>
      <c r="AZ133" s="23"/>
      <c r="BA133" s="23"/>
      <c r="BB133" s="565"/>
      <c r="BC133" s="565"/>
    </row>
    <row r="134" spans="1:55" ht="20.100000000000001" customHeight="1">
      <c r="A134" s="379">
        <v>272</v>
      </c>
      <c r="B134" s="199"/>
      <c r="C134" s="535"/>
      <c r="D134" s="183" t="s">
        <v>487</v>
      </c>
      <c r="E134" s="229" t="s">
        <v>801</v>
      </c>
      <c r="F134" s="328">
        <v>4</v>
      </c>
      <c r="G134" s="328"/>
      <c r="H134" s="228">
        <v>1</v>
      </c>
      <c r="I134" s="229"/>
      <c r="J134" s="328"/>
      <c r="K134" s="328"/>
      <c r="L134" s="228"/>
      <c r="M134" s="230">
        <f t="shared" ca="1" si="0"/>
        <v>0</v>
      </c>
      <c r="N134" s="1238"/>
      <c r="O134" s="1246" t="s">
        <v>802</v>
      </c>
      <c r="S134" s="384"/>
      <c r="T134" s="384"/>
      <c r="U134" s="384"/>
      <c r="V134" s="384"/>
      <c r="W134" s="481"/>
      <c r="AP134" s="565"/>
      <c r="AQ134" s="23"/>
      <c r="AR134" s="23"/>
      <c r="AS134" s="23"/>
      <c r="AT134" s="23"/>
      <c r="AU134" s="23"/>
      <c r="AV134" s="23"/>
      <c r="AW134" s="23"/>
      <c r="AX134" s="23"/>
      <c r="AY134" s="23"/>
      <c r="AZ134" s="23"/>
      <c r="BA134" s="23"/>
      <c r="BB134" s="565"/>
      <c r="BC134" s="565"/>
    </row>
    <row r="135" spans="1:55" ht="20.100000000000001" customHeight="1">
      <c r="A135" s="379">
        <v>276</v>
      </c>
      <c r="B135" s="199"/>
      <c r="C135" s="535"/>
      <c r="D135" s="183" t="s">
        <v>488</v>
      </c>
      <c r="E135" s="229" t="s">
        <v>801</v>
      </c>
      <c r="F135" s="328">
        <v>5</v>
      </c>
      <c r="G135" s="328"/>
      <c r="H135" s="228">
        <v>1</v>
      </c>
      <c r="I135" s="229"/>
      <c r="J135" s="328"/>
      <c r="K135" s="328"/>
      <c r="L135" s="228"/>
      <c r="M135" s="230">
        <f t="shared" ca="1" si="0"/>
        <v>0</v>
      </c>
      <c r="N135" s="1238"/>
      <c r="O135" s="1246" t="s">
        <v>802</v>
      </c>
      <c r="S135" s="384"/>
      <c r="T135" s="384"/>
      <c r="U135" s="384"/>
      <c r="V135" s="384"/>
      <c r="W135" s="481"/>
      <c r="AP135" s="565"/>
      <c r="AQ135" s="23"/>
      <c r="AR135" s="23"/>
      <c r="AS135" s="23"/>
      <c r="AT135" s="23"/>
      <c r="AU135" s="23"/>
      <c r="AV135" s="23"/>
      <c r="AW135" s="23"/>
      <c r="AX135" s="23"/>
      <c r="AY135" s="23"/>
      <c r="AZ135" s="23"/>
      <c r="BA135" s="23"/>
      <c r="BB135" s="565"/>
      <c r="BC135" s="565"/>
    </row>
    <row r="136" spans="1:55" ht="20.100000000000001" customHeight="1">
      <c r="A136" s="379">
        <v>273</v>
      </c>
      <c r="B136" s="199"/>
      <c r="C136" s="535"/>
      <c r="D136" s="183" t="s">
        <v>626</v>
      </c>
      <c r="E136" s="229" t="s">
        <v>157</v>
      </c>
      <c r="F136" s="328"/>
      <c r="G136" s="328">
        <v>1</v>
      </c>
      <c r="H136" s="228">
        <v>2</v>
      </c>
      <c r="I136" s="229"/>
      <c r="J136" s="328"/>
      <c r="K136" s="328"/>
      <c r="L136" s="228"/>
      <c r="M136" s="230">
        <f>H136*(FAC_INFO_FAC_TYPE&lt;&gt;1)</f>
        <v>0</v>
      </c>
      <c r="N136" s="1238"/>
      <c r="O136" s="381"/>
      <c r="S136" s="384"/>
      <c r="T136" s="384"/>
      <c r="U136" s="384"/>
      <c r="V136" s="384"/>
      <c r="W136" s="481"/>
      <c r="AP136" s="565"/>
      <c r="AQ136" s="23"/>
      <c r="AR136" s="23"/>
      <c r="AS136" s="23"/>
      <c r="AT136" s="23"/>
      <c r="AU136" s="23"/>
      <c r="AV136" s="23"/>
      <c r="AW136" s="23"/>
      <c r="AX136" s="23"/>
      <c r="AY136" s="23"/>
      <c r="AZ136" s="23"/>
      <c r="BA136" s="23"/>
      <c r="BB136" s="565"/>
      <c r="BC136" s="565"/>
    </row>
    <row r="137" spans="1:55" ht="20.100000000000001" customHeight="1" thickBot="1">
      <c r="B137" s="232"/>
      <c r="C137" s="537"/>
      <c r="D137" s="234"/>
      <c r="E137" s="514"/>
      <c r="F137" s="515"/>
      <c r="G137" s="516"/>
      <c r="H137" s="517"/>
      <c r="I137" s="517"/>
      <c r="J137" s="517"/>
      <c r="K137" s="517"/>
      <c r="L137" s="517"/>
      <c r="M137" s="585">
        <f ca="1">SUM(M130:M136)+N130</f>
        <v>0</v>
      </c>
      <c r="N137" s="1242"/>
      <c r="O137" s="381"/>
      <c r="S137" s="384"/>
      <c r="T137" s="384"/>
      <c r="U137" s="384"/>
      <c r="V137" s="384"/>
      <c r="W137" s="481"/>
      <c r="AP137" s="565"/>
      <c r="AQ137" s="23"/>
      <c r="AR137" s="23"/>
      <c r="AS137" s="23"/>
      <c r="AT137" s="23"/>
      <c r="AU137" s="23"/>
      <c r="AV137" s="23"/>
      <c r="AW137" s="23"/>
      <c r="AX137" s="23"/>
      <c r="AY137" s="23"/>
      <c r="AZ137" s="23"/>
      <c r="BA137" s="23"/>
      <c r="BB137" s="565"/>
      <c r="BC137" s="565"/>
    </row>
    <row r="138" spans="1:55" ht="20.100000000000001" customHeight="1">
      <c r="A138" s="415"/>
      <c r="B138" s="221"/>
      <c r="C138" s="519" t="s">
        <v>337</v>
      </c>
      <c r="D138" s="432"/>
      <c r="E138" s="494"/>
      <c r="F138" s="497"/>
      <c r="G138" s="496"/>
      <c r="H138" s="495"/>
      <c r="I138" s="495"/>
      <c r="J138" s="495"/>
      <c r="K138" s="495"/>
      <c r="L138" s="495"/>
      <c r="M138" s="494"/>
      <c r="N138" s="1243"/>
      <c r="O138" s="520"/>
      <c r="S138" s="384"/>
      <c r="T138" s="384"/>
      <c r="U138" s="384"/>
      <c r="V138" s="384"/>
      <c r="W138" s="928"/>
      <c r="X138" s="1064"/>
      <c r="Y138" s="1064"/>
      <c r="Z138" s="415"/>
      <c r="AA138" s="415"/>
      <c r="AB138" s="415"/>
      <c r="AC138" s="415"/>
      <c r="AD138" s="415"/>
      <c r="AE138" s="415"/>
      <c r="AF138" s="415"/>
      <c r="AG138" s="415"/>
      <c r="AH138" s="415"/>
      <c r="AI138" s="415"/>
      <c r="AJ138" s="415"/>
      <c r="AK138" s="415"/>
      <c r="AL138" s="415"/>
      <c r="AM138" s="415"/>
      <c r="AN138" s="415"/>
      <c r="AO138" s="415"/>
      <c r="AP138" s="565"/>
      <c r="AQ138" s="23"/>
      <c r="AR138" s="23"/>
      <c r="AS138" s="23"/>
      <c r="AT138" s="23"/>
      <c r="AU138" s="23"/>
      <c r="AV138" s="23"/>
      <c r="AW138" s="23"/>
      <c r="AX138" s="23"/>
      <c r="AY138" s="23"/>
      <c r="AZ138" s="23"/>
      <c r="BA138" s="23"/>
      <c r="BB138" s="565"/>
      <c r="BC138" s="565"/>
    </row>
    <row r="139" spans="1:55" ht="20.100000000000001" customHeight="1">
      <c r="A139" s="379">
        <v>211</v>
      </c>
      <c r="B139" s="199"/>
      <c r="C139" s="535"/>
      <c r="D139" s="449" t="s">
        <v>338</v>
      </c>
      <c r="E139" s="229" t="s">
        <v>157</v>
      </c>
      <c r="F139" s="328">
        <v>1</v>
      </c>
      <c r="G139" s="328"/>
      <c r="H139" s="228">
        <v>0.5</v>
      </c>
      <c r="I139" s="229" t="s">
        <v>181</v>
      </c>
      <c r="J139" s="328">
        <v>38.4</v>
      </c>
      <c r="K139" s="328"/>
      <c r="L139" s="228">
        <v>1.4</v>
      </c>
      <c r="M139" s="230">
        <f>H139*(FAC_INFO_FAC_TYPE&lt;&gt;1)+ADPL/J139*L139+PCPV/F140*H140</f>
        <v>0</v>
      </c>
      <c r="N139" s="1238"/>
      <c r="O139" s="536"/>
      <c r="S139" s="384"/>
      <c r="T139" s="384"/>
      <c r="U139" s="384"/>
      <c r="V139" s="384"/>
      <c r="W139" s="481"/>
      <c r="AP139" s="565"/>
      <c r="AQ139" s="23"/>
      <c r="AR139" s="23"/>
      <c r="AS139" s="23"/>
      <c r="AT139" s="23"/>
      <c r="AU139" s="23"/>
      <c r="AV139" s="23"/>
      <c r="AW139" s="23"/>
      <c r="AX139" s="23"/>
      <c r="AY139" s="23"/>
      <c r="AZ139" s="23"/>
      <c r="BA139" s="23"/>
      <c r="BB139" s="565"/>
      <c r="BC139" s="565"/>
    </row>
    <row r="140" spans="1:55" ht="20.100000000000001" customHeight="1">
      <c r="B140" s="199"/>
      <c r="C140" s="535"/>
      <c r="D140" s="226" t="s">
        <v>338</v>
      </c>
      <c r="E140" s="229" t="s">
        <v>220</v>
      </c>
      <c r="F140" s="328">
        <v>30000</v>
      </c>
      <c r="G140" s="328"/>
      <c r="H140" s="228">
        <v>1.2</v>
      </c>
      <c r="I140" s="228"/>
      <c r="J140" s="228"/>
      <c r="K140" s="228"/>
      <c r="L140" s="228"/>
      <c r="M140" s="230"/>
      <c r="N140" s="1238"/>
      <c r="O140" s="381"/>
      <c r="S140" s="384"/>
      <c r="T140" s="384"/>
      <c r="U140" s="384"/>
      <c r="V140" s="384"/>
      <c r="W140" s="481"/>
      <c r="AP140" s="565"/>
      <c r="AQ140" s="23"/>
      <c r="AR140" s="23"/>
      <c r="AS140" s="23"/>
      <c r="AT140" s="23"/>
      <c r="AU140" s="23"/>
      <c r="AV140" s="23"/>
      <c r="AW140" s="23"/>
      <c r="AX140" s="23"/>
      <c r="AY140" s="23"/>
      <c r="AZ140" s="23"/>
      <c r="BA140" s="23"/>
      <c r="BB140" s="565"/>
      <c r="BC140" s="565"/>
    </row>
    <row r="141" spans="1:55" ht="20.100000000000001" customHeight="1">
      <c r="A141" s="379">
        <v>227</v>
      </c>
      <c r="B141" s="199"/>
      <c r="C141" s="535"/>
      <c r="D141" s="449" t="s">
        <v>165</v>
      </c>
      <c r="E141" s="229" t="s">
        <v>181</v>
      </c>
      <c r="F141" s="328">
        <v>38.4</v>
      </c>
      <c r="G141" s="328"/>
      <c r="H141" s="228">
        <v>0.5</v>
      </c>
      <c r="I141" s="229" t="s">
        <v>220</v>
      </c>
      <c r="J141" s="328">
        <v>30000</v>
      </c>
      <c r="K141" s="328"/>
      <c r="L141" s="228">
        <v>0.4</v>
      </c>
      <c r="M141" s="230">
        <f>ADPL/F141*H141+PCPV/J141*L141</f>
        <v>0</v>
      </c>
      <c r="N141" s="1238"/>
      <c r="O141" s="536"/>
      <c r="S141" s="384"/>
      <c r="T141" s="384"/>
      <c r="U141" s="384"/>
      <c r="V141" s="384"/>
      <c r="W141" s="481"/>
      <c r="AP141" s="565"/>
      <c r="AQ141" s="23"/>
      <c r="AR141" s="23"/>
      <c r="AS141" s="23"/>
      <c r="AT141" s="23"/>
      <c r="AU141" s="23"/>
      <c r="AV141" s="23"/>
      <c r="AW141" s="23"/>
      <c r="AX141" s="23"/>
      <c r="AY141" s="23"/>
      <c r="AZ141" s="23"/>
      <c r="BA141" s="23"/>
      <c r="BB141" s="565"/>
      <c r="BC141" s="565"/>
    </row>
    <row r="142" spans="1:55" ht="20.100000000000001" customHeight="1" thickBot="1">
      <c r="B142" s="232"/>
      <c r="C142" s="537"/>
      <c r="D142" s="452"/>
      <c r="E142" s="514"/>
      <c r="F142" s="515"/>
      <c r="G142" s="516"/>
      <c r="H142" s="517"/>
      <c r="I142" s="517"/>
      <c r="J142" s="517"/>
      <c r="K142" s="517"/>
      <c r="L142" s="517"/>
      <c r="M142" s="584">
        <f>SUM(M139:M141)</f>
        <v>0</v>
      </c>
      <c r="N142" s="1242"/>
      <c r="O142" s="381"/>
      <c r="S142" s="384"/>
      <c r="T142" s="384"/>
      <c r="U142" s="384"/>
      <c r="V142" s="384"/>
      <c r="W142" s="481"/>
      <c r="AP142" s="565"/>
      <c r="AQ142" s="23"/>
      <c r="AR142" s="23"/>
      <c r="AS142" s="23"/>
      <c r="AT142" s="23"/>
      <c r="AU142" s="23"/>
      <c r="AV142" s="23"/>
      <c r="AW142" s="23"/>
      <c r="AX142" s="23"/>
      <c r="AY142" s="23"/>
      <c r="AZ142" s="23"/>
      <c r="BA142" s="23"/>
      <c r="BB142" s="565"/>
      <c r="BC142" s="565"/>
    </row>
    <row r="143" spans="1:55" s="415" customFormat="1" ht="20.100000000000001" customHeight="1">
      <c r="B143" s="221"/>
      <c r="C143" s="1065" t="s">
        <v>661</v>
      </c>
      <c r="D143" s="432"/>
      <c r="E143" s="494"/>
      <c r="F143" s="497"/>
      <c r="G143" s="496"/>
      <c r="H143" s="495"/>
      <c r="I143" s="495"/>
      <c r="J143" s="495"/>
      <c r="K143" s="495"/>
      <c r="L143" s="495"/>
      <c r="M143" s="494"/>
      <c r="N143" s="1243"/>
      <c r="O143" s="559"/>
      <c r="R143" s="384"/>
      <c r="S143" s="384"/>
      <c r="T143" s="384"/>
      <c r="U143" s="384"/>
      <c r="V143" s="384"/>
      <c r="W143" s="928"/>
      <c r="X143" s="1064"/>
      <c r="Y143" s="1064"/>
      <c r="AP143" s="565"/>
      <c r="AQ143" s="23"/>
      <c r="AR143" s="23"/>
      <c r="AS143" s="23"/>
      <c r="AT143" s="23"/>
      <c r="AU143" s="23"/>
      <c r="AV143" s="23"/>
      <c r="AW143" s="23"/>
      <c r="AX143" s="23"/>
      <c r="AY143" s="23"/>
      <c r="AZ143" s="23"/>
      <c r="BA143" s="23"/>
      <c r="BB143" s="565"/>
      <c r="BC143" s="565"/>
    </row>
    <row r="144" spans="1:55" ht="20.100000000000001" customHeight="1">
      <c r="A144" s="384">
        <v>427</v>
      </c>
      <c r="B144" s="199"/>
      <c r="C144" s="535"/>
      <c r="D144" s="226" t="s">
        <v>660</v>
      </c>
      <c r="E144" s="229" t="s">
        <v>157</v>
      </c>
      <c r="F144" s="328">
        <v>1</v>
      </c>
      <c r="G144" s="328"/>
      <c r="H144" s="228">
        <v>0.5</v>
      </c>
      <c r="I144" s="229" t="s">
        <v>496</v>
      </c>
      <c r="J144" s="347">
        <v>2400</v>
      </c>
      <c r="K144" s="347"/>
      <c r="L144" s="348">
        <v>1</v>
      </c>
      <c r="M144" s="230">
        <f>(F144*H144*(FAC_INFO_FAC_TYPE&lt;&gt;1))+(L144*OPV/(251*J144))</f>
        <v>0</v>
      </c>
      <c r="N144" s="1238"/>
      <c r="O144" s="381"/>
      <c r="S144" s="384"/>
      <c r="T144" s="384"/>
      <c r="U144" s="384"/>
      <c r="V144" s="384"/>
      <c r="W144" s="481"/>
      <c r="AP144" s="565"/>
      <c r="AQ144" s="23"/>
      <c r="AR144" s="23"/>
      <c r="AS144" s="23"/>
      <c r="AT144" s="23"/>
      <c r="AU144" s="23"/>
      <c r="AV144" s="23"/>
      <c r="AW144" s="23"/>
      <c r="AX144" s="23"/>
      <c r="AY144" s="23"/>
      <c r="AZ144" s="23"/>
      <c r="BA144" s="23"/>
      <c r="BB144" s="565"/>
      <c r="BC144" s="565"/>
    </row>
    <row r="145" spans="1:55" ht="20.100000000000001" customHeight="1">
      <c r="A145" s="384"/>
      <c r="B145" s="199"/>
      <c r="C145" s="535"/>
      <c r="D145" s="226"/>
      <c r="E145" s="377" t="s">
        <v>147</v>
      </c>
      <c r="F145" s="328">
        <v>600</v>
      </c>
      <c r="G145" s="328"/>
      <c r="H145" s="228">
        <v>1</v>
      </c>
      <c r="I145" s="451" t="s">
        <v>662</v>
      </c>
      <c r="J145" s="347">
        <v>200</v>
      </c>
      <c r="K145" s="228"/>
      <c r="L145" s="228">
        <v>1</v>
      </c>
      <c r="M145" s="230">
        <f ca="1">(H145*FTE_FTE_Calc/F145)+((HOSPITAL)*ADPL*L145/J145)</f>
        <v>0</v>
      </c>
      <c r="N145" s="1238"/>
      <c r="O145" s="381"/>
      <c r="S145" s="384"/>
      <c r="T145" s="384"/>
      <c r="U145" s="384"/>
      <c r="V145" s="384"/>
      <c r="W145" s="481"/>
      <c r="AP145" s="565"/>
      <c r="AQ145" s="23"/>
      <c r="AR145" s="23"/>
      <c r="AS145" s="23"/>
      <c r="AT145" s="23"/>
      <c r="AU145" s="23"/>
      <c r="AV145" s="23"/>
      <c r="AW145" s="23"/>
      <c r="AX145" s="23"/>
      <c r="AY145" s="23"/>
      <c r="AZ145" s="23"/>
      <c r="BA145" s="23"/>
      <c r="BB145" s="565"/>
      <c r="BC145" s="565"/>
    </row>
    <row r="146" spans="1:55" ht="20.100000000000001" customHeight="1">
      <c r="A146" s="384"/>
      <c r="B146" s="199"/>
      <c r="C146" s="535"/>
      <c r="D146" s="226"/>
      <c r="E146" s="377" t="s">
        <v>157</v>
      </c>
      <c r="F146" s="328">
        <v>1</v>
      </c>
      <c r="G146" s="328"/>
      <c r="H146" s="228">
        <v>0.25</v>
      </c>
      <c r="I146" s="451" t="s">
        <v>676</v>
      </c>
      <c r="J146" s="347">
        <v>1</v>
      </c>
      <c r="K146" s="228"/>
      <c r="L146" s="228">
        <v>0.2</v>
      </c>
      <c r="M146" s="230">
        <f>(F146*H146*OR(HOSPITAL,ALTRURAL))+(J146*L31*('Facility Info'!K55))</f>
        <v>0</v>
      </c>
      <c r="N146" s="1238"/>
      <c r="O146" s="381"/>
      <c r="S146" s="384"/>
      <c r="T146" s="384"/>
      <c r="U146" s="384"/>
      <c r="V146" s="384"/>
      <c r="W146" s="481"/>
      <c r="AP146" s="565"/>
      <c r="AQ146" s="23"/>
      <c r="AR146" s="23"/>
      <c r="AS146" s="23"/>
      <c r="AT146" s="23"/>
      <c r="AU146" s="23"/>
      <c r="AV146" s="23"/>
      <c r="AW146" s="23"/>
      <c r="AX146" s="23"/>
      <c r="AY146" s="23"/>
      <c r="AZ146" s="23"/>
      <c r="BA146" s="23"/>
      <c r="BB146" s="565"/>
      <c r="BC146" s="565"/>
    </row>
    <row r="147" spans="1:55" ht="20.100000000000001" customHeight="1">
      <c r="B147" s="199"/>
      <c r="C147" s="535"/>
      <c r="D147" s="226"/>
      <c r="E147" s="377" t="s">
        <v>680</v>
      </c>
      <c r="F147" s="328">
        <v>1</v>
      </c>
      <c r="G147" s="328"/>
      <c r="H147" s="228">
        <v>0.2</v>
      </c>
      <c r="I147" s="451" t="s">
        <v>681</v>
      </c>
      <c r="J147" s="347">
        <v>1</v>
      </c>
      <c r="K147" s="228"/>
      <c r="L147" s="228">
        <v>0.2</v>
      </c>
      <c r="M147" s="230">
        <f>(F147*H352*('Facility Info'!K57))+(J147*L147*('Facility Info'!K56))</f>
        <v>0</v>
      </c>
      <c r="N147" s="1238"/>
      <c r="O147" s="381"/>
      <c r="S147" s="384"/>
      <c r="T147" s="384"/>
      <c r="U147" s="384"/>
      <c r="V147" s="384"/>
      <c r="W147" s="481"/>
      <c r="AP147" s="565"/>
      <c r="AQ147" s="23"/>
      <c r="AR147" s="23"/>
      <c r="AS147" s="23"/>
      <c r="AT147" s="23"/>
      <c r="AU147" s="23"/>
      <c r="AV147" s="23"/>
      <c r="AW147" s="23"/>
      <c r="AX147" s="23"/>
      <c r="AY147" s="23"/>
      <c r="AZ147" s="23"/>
      <c r="BA147" s="23"/>
      <c r="BB147" s="565"/>
      <c r="BC147" s="565"/>
    </row>
    <row r="148" spans="1:55" ht="20.100000000000001" customHeight="1">
      <c r="B148" s="199"/>
      <c r="C148" s="535"/>
      <c r="D148" s="226"/>
      <c r="E148" s="377" t="s">
        <v>682</v>
      </c>
      <c r="F148" s="328">
        <v>1</v>
      </c>
      <c r="G148" s="328"/>
      <c r="H148" s="228">
        <v>0.2</v>
      </c>
      <c r="I148" s="451" t="s">
        <v>165</v>
      </c>
      <c r="J148" s="347">
        <v>600</v>
      </c>
      <c r="K148" s="228"/>
      <c r="L148" s="228">
        <v>1</v>
      </c>
      <c r="M148" s="230">
        <f ca="1">(F148*H148*('Facility Info'!K58))+(L148*(J148&lt;(FTE_FTE_Calc+ADPL+OPV)))</f>
        <v>0</v>
      </c>
      <c r="N148" s="1238"/>
      <c r="O148" s="381"/>
      <c r="S148" s="384"/>
      <c r="T148" s="384"/>
      <c r="U148" s="384"/>
      <c r="V148" s="384"/>
      <c r="W148" s="481"/>
      <c r="AP148" s="565"/>
      <c r="AQ148" s="23"/>
      <c r="AR148" s="23"/>
      <c r="AS148" s="23"/>
      <c r="AT148" s="23"/>
      <c r="AU148" s="23"/>
      <c r="AV148" s="23"/>
      <c r="AW148" s="23"/>
      <c r="AX148" s="23"/>
      <c r="AY148" s="23"/>
      <c r="AZ148" s="23"/>
      <c r="BA148" s="23"/>
      <c r="BB148" s="565"/>
      <c r="BC148" s="565"/>
    </row>
    <row r="149" spans="1:55" ht="20.100000000000001" customHeight="1" thickBot="1">
      <c r="B149" s="232"/>
      <c r="C149" s="537"/>
      <c r="D149" s="233"/>
      <c r="E149" s="514"/>
      <c r="F149" s="515"/>
      <c r="G149" s="516"/>
      <c r="H149" s="517"/>
      <c r="I149" s="517"/>
      <c r="J149" s="517"/>
      <c r="K149" s="517"/>
      <c r="L149" s="517"/>
      <c r="M149" s="584">
        <f ca="1">SUM(M144:M148)</f>
        <v>0</v>
      </c>
      <c r="N149" s="1242"/>
      <c r="O149" s="381"/>
      <c r="S149" s="384"/>
      <c r="T149" s="384"/>
      <c r="U149" s="384"/>
      <c r="V149" s="384"/>
      <c r="W149" s="481"/>
      <c r="AP149" s="565"/>
      <c r="AQ149" s="23"/>
      <c r="AR149" s="23"/>
      <c r="AS149" s="23"/>
      <c r="AT149" s="23"/>
      <c r="AU149" s="23"/>
      <c r="AV149" s="23"/>
      <c r="AW149" s="23"/>
      <c r="AX149" s="23"/>
      <c r="AY149" s="23"/>
      <c r="AZ149" s="23"/>
      <c r="BA149" s="23"/>
      <c r="BB149" s="565"/>
      <c r="BC149" s="565"/>
    </row>
    <row r="150" spans="1:55" s="415" customFormat="1" ht="20.100000000000001" customHeight="1">
      <c r="B150" s="221"/>
      <c r="C150" s="519" t="s">
        <v>339</v>
      </c>
      <c r="D150" s="432"/>
      <c r="E150" s="494"/>
      <c r="F150" s="497"/>
      <c r="G150" s="496"/>
      <c r="H150" s="495"/>
      <c r="I150" s="495"/>
      <c r="J150" s="495"/>
      <c r="K150" s="495"/>
      <c r="L150" s="495"/>
      <c r="M150" s="494"/>
      <c r="N150" s="1243"/>
      <c r="O150" s="559"/>
      <c r="R150" s="384"/>
      <c r="S150" s="384"/>
      <c r="T150" s="384"/>
      <c r="U150" s="384"/>
      <c r="V150" s="384"/>
      <c r="W150" s="928"/>
      <c r="X150" s="1064"/>
      <c r="Y150" s="1064"/>
      <c r="AP150" s="565"/>
      <c r="AQ150" s="23"/>
      <c r="AR150" s="23"/>
      <c r="AS150" s="23"/>
      <c r="AT150" s="23"/>
      <c r="AU150" s="23"/>
      <c r="AV150" s="23"/>
      <c r="AW150" s="23"/>
      <c r="AX150" s="23"/>
      <c r="AY150" s="23"/>
      <c r="AZ150" s="23"/>
      <c r="BA150" s="23"/>
      <c r="BB150" s="565"/>
      <c r="BC150" s="565"/>
    </row>
    <row r="151" spans="1:55" ht="20.100000000000001" customHeight="1">
      <c r="A151" s="379">
        <v>68</v>
      </c>
      <c r="B151" s="199"/>
      <c r="C151" s="535"/>
      <c r="D151" s="226" t="s">
        <v>340</v>
      </c>
      <c r="E151" s="229" t="s">
        <v>157</v>
      </c>
      <c r="F151" s="328">
        <v>1</v>
      </c>
      <c r="G151" s="328"/>
      <c r="H151" s="228">
        <v>0.67</v>
      </c>
      <c r="I151" s="229" t="s">
        <v>341</v>
      </c>
      <c r="J151" s="328">
        <v>1</v>
      </c>
      <c r="K151" s="328"/>
      <c r="L151" s="228">
        <v>0.67</v>
      </c>
      <c r="M151" s="230">
        <f>H151*(FAC_INFO_FAC_TYPE&lt;&gt;1)+'Inpatient Workload'!F26*L151</f>
        <v>0</v>
      </c>
      <c r="N151" s="1238"/>
      <c r="O151" s="381"/>
      <c r="S151" s="384"/>
      <c r="T151" s="384"/>
      <c r="U151" s="384"/>
      <c r="V151" s="384"/>
      <c r="W151" s="481"/>
      <c r="AP151" s="565"/>
      <c r="AQ151" s="23"/>
      <c r="AR151" s="23"/>
      <c r="AS151" s="23"/>
      <c r="AT151" s="23"/>
      <c r="AU151" s="23"/>
      <c r="AV151" s="23"/>
      <c r="AW151" s="23"/>
      <c r="AX151" s="23"/>
      <c r="AY151" s="23"/>
      <c r="AZ151" s="23"/>
      <c r="BA151" s="23"/>
      <c r="BB151" s="565"/>
      <c r="BC151" s="565"/>
    </row>
    <row r="152" spans="1:55" ht="20.100000000000001" customHeight="1">
      <c r="A152" s="379">
        <v>69</v>
      </c>
      <c r="B152" s="199"/>
      <c r="C152" s="535"/>
      <c r="D152" s="226" t="s">
        <v>214</v>
      </c>
      <c r="E152" s="229" t="s">
        <v>342</v>
      </c>
      <c r="F152" s="328">
        <v>1</v>
      </c>
      <c r="G152" s="328"/>
      <c r="H152" s="228">
        <v>1</v>
      </c>
      <c r="I152" s="228"/>
      <c r="J152" s="228"/>
      <c r="K152" s="228"/>
      <c r="L152" s="228"/>
      <c r="M152" s="230">
        <f>IF('Inpatient Workload'!E19&gt;0,H152,0)</f>
        <v>0</v>
      </c>
      <c r="N152" s="1238"/>
      <c r="O152" s="381"/>
      <c r="S152" s="384"/>
      <c r="T152" s="384"/>
      <c r="U152" s="384"/>
      <c r="V152" s="384"/>
      <c r="W152" s="481"/>
      <c r="AP152" s="565"/>
      <c r="AQ152" s="23"/>
      <c r="AR152" s="23"/>
      <c r="AS152" s="23"/>
      <c r="AT152" s="23"/>
      <c r="AU152" s="23"/>
      <c r="AV152" s="23"/>
      <c r="AW152" s="23"/>
      <c r="AX152" s="23"/>
      <c r="AY152" s="23"/>
      <c r="AZ152" s="23"/>
      <c r="BA152" s="23"/>
      <c r="BB152" s="565"/>
      <c r="BC152" s="565"/>
    </row>
    <row r="153" spans="1:55" ht="20.100000000000001" customHeight="1" thickBot="1">
      <c r="B153" s="232"/>
      <c r="C153" s="537"/>
      <c r="D153" s="233"/>
      <c r="E153" s="514"/>
      <c r="F153" s="515"/>
      <c r="G153" s="516"/>
      <c r="H153" s="517"/>
      <c r="I153" s="517"/>
      <c r="J153" s="517"/>
      <c r="K153" s="517"/>
      <c r="L153" s="517"/>
      <c r="M153" s="584">
        <f>SUM(M151:M152)</f>
        <v>0</v>
      </c>
      <c r="N153" s="1242"/>
      <c r="O153" s="381"/>
      <c r="S153" s="384"/>
      <c r="T153" s="384"/>
      <c r="U153" s="384"/>
      <c r="V153" s="384"/>
      <c r="W153" s="481"/>
      <c r="AP153" s="565"/>
      <c r="AQ153" s="23"/>
      <c r="AR153" s="23"/>
      <c r="AS153" s="23"/>
      <c r="AT153" s="23"/>
      <c r="AU153" s="23"/>
      <c r="AV153" s="23"/>
      <c r="AW153" s="23"/>
      <c r="AX153" s="23"/>
      <c r="AY153" s="23"/>
      <c r="AZ153" s="23"/>
      <c r="BA153" s="23"/>
      <c r="BB153" s="565"/>
      <c r="BC153" s="565"/>
    </row>
    <row r="154" spans="1:55" ht="20.100000000000001" customHeight="1">
      <c r="A154" s="415"/>
      <c r="B154" s="418"/>
      <c r="C154" s="519" t="s">
        <v>343</v>
      </c>
      <c r="D154" s="432"/>
      <c r="E154" s="494"/>
      <c r="F154" s="497"/>
      <c r="G154" s="496"/>
      <c r="H154" s="495"/>
      <c r="I154" s="495"/>
      <c r="J154" s="495"/>
      <c r="K154" s="495"/>
      <c r="L154" s="495"/>
      <c r="M154" s="494"/>
      <c r="N154" s="1243"/>
      <c r="O154" s="559"/>
      <c r="S154" s="384"/>
      <c r="T154" s="384"/>
      <c r="U154" s="384"/>
      <c r="V154" s="384"/>
      <c r="W154" s="1064"/>
      <c r="X154" s="1064"/>
      <c r="Y154" s="1064"/>
      <c r="Z154" s="415"/>
      <c r="AA154" s="415"/>
      <c r="AB154" s="415"/>
      <c r="AC154" s="415"/>
      <c r="AD154" s="415"/>
      <c r="AE154" s="415"/>
      <c r="AF154" s="415"/>
      <c r="AG154" s="415"/>
      <c r="AH154" s="415"/>
      <c r="AI154" s="415"/>
      <c r="AJ154" s="415"/>
      <c r="AK154" s="415"/>
      <c r="AL154" s="415"/>
      <c r="AM154" s="415"/>
      <c r="AN154" s="415"/>
      <c r="AO154" s="415"/>
      <c r="AP154" s="23"/>
      <c r="AQ154" s="23"/>
      <c r="AR154" s="23"/>
      <c r="AS154" s="23"/>
      <c r="AT154" s="23"/>
      <c r="AU154" s="23"/>
      <c r="AV154" s="23"/>
      <c r="AW154" s="23"/>
      <c r="AX154" s="23"/>
      <c r="AY154" s="23"/>
      <c r="AZ154" s="23"/>
      <c r="BA154" s="23"/>
      <c r="BB154" s="565"/>
      <c r="BC154" s="565"/>
    </row>
    <row r="155" spans="1:55" ht="20.100000000000001" customHeight="1">
      <c r="A155" s="379">
        <v>426</v>
      </c>
      <c r="B155" s="436"/>
      <c r="C155" s="535"/>
      <c r="D155" s="183" t="s">
        <v>130</v>
      </c>
      <c r="E155" s="229" t="s">
        <v>102</v>
      </c>
      <c r="F155" s="328">
        <v>3200</v>
      </c>
      <c r="G155" s="328"/>
      <c r="H155" s="228">
        <v>0.4</v>
      </c>
      <c r="I155" s="229" t="s">
        <v>288</v>
      </c>
      <c r="J155" s="328">
        <v>3000</v>
      </c>
      <c r="K155" s="328"/>
      <c r="L155" s="228">
        <v>0.4</v>
      </c>
      <c r="M155" s="230">
        <f>IF('Outpatient Workload'!D49=1,0,(H155*PCPV/F155*'Outpatient Workload'!D50)+(AmbUPOP/J155*L155*'Outpatient Workload'!D50))</f>
        <v>0</v>
      </c>
      <c r="N155" s="1238"/>
      <c r="O155" s="445">
        <f>'Outpatient Workload'!D50</f>
        <v>0</v>
      </c>
      <c r="S155" s="384"/>
      <c r="T155" s="384"/>
      <c r="U155" s="384"/>
      <c r="V155" s="384"/>
      <c r="AP155" s="23"/>
      <c r="AQ155" s="23"/>
      <c r="AR155" s="23"/>
      <c r="AS155" s="23"/>
      <c r="AT155" s="23"/>
      <c r="AU155" s="23"/>
      <c r="AV155" s="23"/>
      <c r="AW155" s="23"/>
      <c r="AX155" s="23"/>
      <c r="AY155" s="23"/>
      <c r="AZ155" s="23"/>
      <c r="BA155" s="23"/>
      <c r="BB155" s="565"/>
      <c r="BC155" s="565"/>
    </row>
    <row r="156" spans="1:55" ht="20.100000000000001" customHeight="1" thickBot="1">
      <c r="B156" s="446"/>
      <c r="C156" s="537"/>
      <c r="D156" s="234"/>
      <c r="E156" s="514"/>
      <c r="F156" s="515"/>
      <c r="G156" s="516"/>
      <c r="H156" s="517"/>
      <c r="I156" s="517"/>
      <c r="J156" s="517"/>
      <c r="K156" s="517"/>
      <c r="L156" s="517"/>
      <c r="M156" s="584">
        <f>M155</f>
        <v>0</v>
      </c>
      <c r="N156" s="1242"/>
      <c r="O156" s="381"/>
      <c r="S156" s="384"/>
      <c r="T156" s="384"/>
      <c r="U156" s="384"/>
      <c r="V156" s="384"/>
      <c r="AP156" s="23"/>
      <c r="AQ156" s="786"/>
      <c r="AR156" s="786"/>
      <c r="AS156" s="786"/>
      <c r="AT156" s="786"/>
      <c r="AU156" s="23"/>
      <c r="AV156" s="23"/>
      <c r="AW156" s="23"/>
      <c r="AX156" s="23"/>
      <c r="AY156" s="23"/>
      <c r="AZ156" s="23"/>
      <c r="BA156" s="23"/>
      <c r="BB156" s="565"/>
      <c r="BC156" s="565"/>
    </row>
    <row r="157" spans="1:55" ht="20.100000000000001" customHeight="1">
      <c r="A157" s="415"/>
      <c r="B157" s="418"/>
      <c r="C157" s="519" t="s">
        <v>344</v>
      </c>
      <c r="D157" s="432"/>
      <c r="E157" s="494"/>
      <c r="F157" s="497"/>
      <c r="G157" s="496"/>
      <c r="H157" s="495"/>
      <c r="I157" s="495"/>
      <c r="J157" s="495"/>
      <c r="K157" s="495"/>
      <c r="L157" s="495"/>
      <c r="M157" s="494"/>
      <c r="N157" s="498"/>
      <c r="O157" s="559"/>
      <c r="S157" s="384"/>
      <c r="T157" s="384"/>
      <c r="U157" s="384"/>
      <c r="V157" s="384"/>
      <c r="W157" s="1064"/>
      <c r="X157" s="1064"/>
      <c r="Y157" s="1064"/>
      <c r="Z157" s="415"/>
      <c r="AA157" s="415"/>
      <c r="AB157" s="415"/>
      <c r="AC157" s="415"/>
      <c r="AD157" s="415"/>
      <c r="AE157" s="415"/>
      <c r="AF157" s="415"/>
      <c r="AG157" s="415"/>
      <c r="AH157" s="415"/>
      <c r="AI157" s="415"/>
      <c r="AJ157" s="415"/>
      <c r="AK157" s="415"/>
      <c r="AL157" s="415"/>
      <c r="AM157" s="415"/>
      <c r="AN157" s="415"/>
      <c r="AO157" s="415"/>
      <c r="AP157" s="23"/>
      <c r="AQ157" s="786"/>
      <c r="AR157" s="786"/>
      <c r="AS157" s="786"/>
      <c r="AT157" s="786"/>
      <c r="AU157" s="23"/>
      <c r="AV157" s="23"/>
      <c r="AW157" s="23"/>
      <c r="AX157" s="23"/>
      <c r="AY157" s="23"/>
      <c r="AZ157" s="23"/>
      <c r="BA157" s="23"/>
      <c r="BB157" s="565"/>
      <c r="BC157" s="565"/>
    </row>
    <row r="158" spans="1:55" ht="20.100000000000001" customHeight="1" thickBot="1">
      <c r="A158" s="379">
        <v>428</v>
      </c>
      <c r="B158" s="446"/>
      <c r="C158" s="233"/>
      <c r="D158" s="234" t="s">
        <v>345</v>
      </c>
      <c r="E158" s="237" t="s">
        <v>314</v>
      </c>
      <c r="F158" s="340">
        <v>111</v>
      </c>
      <c r="G158" s="340"/>
      <c r="H158" s="236">
        <v>1</v>
      </c>
      <c r="I158" s="236"/>
      <c r="J158" s="236"/>
      <c r="K158" s="236"/>
      <c r="L158" s="236"/>
      <c r="M158" s="585">
        <f ca="1">FTE_FTE_Calc/F158*H158</f>
        <v>0</v>
      </c>
      <c r="N158" s="518"/>
      <c r="O158" s="546"/>
      <c r="S158" s="384"/>
      <c r="T158" s="384"/>
      <c r="U158" s="384"/>
      <c r="V158" s="384"/>
      <c r="AP158" s="23"/>
      <c r="AQ158" s="786"/>
      <c r="AR158" s="786"/>
      <c r="AS158" s="786"/>
      <c r="AT158" s="786"/>
      <c r="AU158" s="23"/>
      <c r="AV158" s="23"/>
      <c r="AW158" s="23"/>
      <c r="AX158" s="23"/>
      <c r="AY158" s="23"/>
      <c r="AZ158" s="23"/>
      <c r="BA158" s="23"/>
      <c r="BB158" s="565"/>
      <c r="BC158" s="565"/>
    </row>
    <row r="159" spans="1:55" ht="20.100000000000001" customHeight="1" thickBot="1">
      <c r="B159" s="920"/>
      <c r="C159" s="240"/>
      <c r="D159" s="342"/>
      <c r="E159" s="922"/>
      <c r="F159" s="923"/>
      <c r="G159" s="923"/>
      <c r="H159" s="924"/>
      <c r="I159" s="924"/>
      <c r="J159" s="924"/>
      <c r="K159" s="924"/>
      <c r="L159" s="924"/>
      <c r="M159" s="925"/>
      <c r="N159" s="921"/>
      <c r="O159" s="546"/>
      <c r="S159" s="384"/>
      <c r="T159" s="384"/>
      <c r="U159" s="384"/>
      <c r="V159" s="384"/>
      <c r="AP159" s="23"/>
      <c r="AQ159" s="786"/>
      <c r="AR159" s="786"/>
      <c r="AS159" s="786"/>
      <c r="AT159" s="786"/>
      <c r="AU159" s="23"/>
      <c r="AV159" s="23"/>
      <c r="AW159" s="23"/>
      <c r="AX159" s="23"/>
      <c r="AY159" s="23"/>
      <c r="AZ159" s="23"/>
      <c r="BA159" s="23"/>
      <c r="BB159" s="565"/>
      <c r="BC159" s="565"/>
    </row>
    <row r="160" spans="1:55" ht="20.100000000000001" customHeight="1">
      <c r="B160" s="472" t="s">
        <v>715</v>
      </c>
      <c r="C160" s="373"/>
      <c r="D160" s="373"/>
      <c r="E160" s="560"/>
      <c r="F160" s="561"/>
      <c r="G160" s="561"/>
      <c r="H160" s="560"/>
      <c r="I160" s="560"/>
      <c r="J160" s="560"/>
      <c r="K160" s="560"/>
      <c r="L160" s="560"/>
      <c r="M160" s="560"/>
      <c r="N160" s="1775"/>
      <c r="P160" s="385"/>
      <c r="S160" s="384"/>
      <c r="T160" s="384"/>
      <c r="U160" s="384"/>
      <c r="V160" s="384"/>
      <c r="AP160" s="23"/>
      <c r="AQ160" s="1319"/>
      <c r="AR160" s="1320"/>
      <c r="AS160" s="1321"/>
      <c r="AT160" s="1319"/>
      <c r="AU160" s="565"/>
      <c r="AV160" s="565"/>
      <c r="AW160" s="565"/>
      <c r="AX160" s="565"/>
      <c r="AY160" s="23"/>
      <c r="AZ160" s="23"/>
      <c r="BA160" s="23"/>
      <c r="BB160" s="565"/>
      <c r="BC160" s="565"/>
    </row>
    <row r="161" spans="1:55" s="415" customFormat="1" ht="20.100000000000001" customHeight="1">
      <c r="A161" s="379"/>
      <c r="B161" s="294"/>
      <c r="C161" s="183"/>
      <c r="D161" s="1497" t="s">
        <v>1010</v>
      </c>
      <c r="E161" s="367"/>
      <c r="F161" s="308"/>
      <c r="G161" s="1774"/>
      <c r="H161" s="302"/>
      <c r="I161" s="302"/>
      <c r="J161" s="302"/>
      <c r="K161" s="302"/>
      <c r="L161" s="1792"/>
      <c r="M161" s="1794">
        <v>0</v>
      </c>
      <c r="N161" s="1776"/>
      <c r="O161" s="379"/>
      <c r="P161" s="385"/>
      <c r="Q161" s="384"/>
      <c r="R161" s="384"/>
      <c r="S161" s="384"/>
      <c r="T161" s="384"/>
      <c r="U161" s="384"/>
      <c r="V161" s="384"/>
      <c r="W161" s="384"/>
      <c r="X161" s="384"/>
      <c r="Y161" s="384"/>
      <c r="Z161" s="379"/>
      <c r="AA161" s="379"/>
      <c r="AB161" s="379"/>
      <c r="AC161" s="379"/>
      <c r="AD161" s="379"/>
      <c r="AE161" s="379"/>
      <c r="AF161" s="379"/>
      <c r="AG161" s="379"/>
      <c r="AH161" s="379"/>
      <c r="AI161" s="379"/>
      <c r="AJ161" s="379"/>
      <c r="AK161" s="379"/>
      <c r="AL161" s="379"/>
      <c r="AM161" s="379"/>
      <c r="AN161" s="379"/>
      <c r="AO161" s="379"/>
      <c r="AP161" s="565"/>
      <c r="AQ161" s="1319"/>
      <c r="AR161" s="1319"/>
      <c r="AS161" s="1319"/>
      <c r="AT161" s="1319"/>
      <c r="AU161" s="565"/>
      <c r="AV161" s="565"/>
      <c r="AW161" s="566"/>
      <c r="AX161" s="565"/>
      <c r="AY161" s="23"/>
      <c r="AZ161" s="23"/>
      <c r="BA161" s="23"/>
      <c r="BB161" s="565"/>
      <c r="BC161" s="565"/>
    </row>
    <row r="162" spans="1:55">
      <c r="B162" s="294"/>
      <c r="C162" s="183"/>
      <c r="D162" s="1497" t="s">
        <v>1011</v>
      </c>
      <c r="E162" s="367"/>
      <c r="F162" s="308"/>
      <c r="G162" s="1774"/>
      <c r="H162" s="302"/>
      <c r="I162" s="302"/>
      <c r="J162" s="302"/>
      <c r="K162" s="302"/>
      <c r="L162" s="302"/>
      <c r="M162" s="1794">
        <v>0</v>
      </c>
      <c r="N162" s="1776"/>
      <c r="P162" s="385"/>
      <c r="S162" s="384"/>
      <c r="T162" s="384"/>
      <c r="U162" s="384"/>
      <c r="V162" s="384"/>
      <c r="AP162" s="565"/>
      <c r="AQ162" s="1319"/>
      <c r="AR162" s="1319"/>
      <c r="AS162" s="1319"/>
      <c r="AT162" s="1319"/>
      <c r="AU162" s="565"/>
      <c r="AV162" s="565"/>
      <c r="AW162" s="565"/>
      <c r="AX162" s="565"/>
      <c r="AY162" s="565"/>
      <c r="AZ162" s="565"/>
      <c r="BA162" s="565"/>
      <c r="BB162" s="565"/>
      <c r="BC162" s="565"/>
    </row>
    <row r="163" spans="1:55">
      <c r="B163" s="199"/>
      <c r="C163" s="183"/>
      <c r="D163" s="1497" t="s">
        <v>1012</v>
      </c>
      <c r="E163" s="367"/>
      <c r="F163" s="308"/>
      <c r="G163" s="1774"/>
      <c r="H163" s="302"/>
      <c r="I163" s="302"/>
      <c r="J163" s="302"/>
      <c r="K163" s="302"/>
      <c r="L163" s="302"/>
      <c r="M163" s="1794">
        <v>0</v>
      </c>
      <c r="N163" s="1776"/>
      <c r="P163" s="385"/>
      <c r="S163" s="384"/>
      <c r="T163" s="384"/>
      <c r="U163" s="384"/>
      <c r="V163" s="384"/>
      <c r="AP163" s="565"/>
      <c r="AQ163" s="1319"/>
      <c r="AR163" s="1319"/>
      <c r="AS163" s="1319"/>
      <c r="AT163" s="1319"/>
      <c r="AU163" s="565"/>
      <c r="AV163" s="565"/>
      <c r="AW163" s="565"/>
      <c r="AX163" s="565"/>
      <c r="AY163" s="565"/>
      <c r="AZ163" s="565"/>
      <c r="BA163" s="565"/>
      <c r="BB163" s="565"/>
      <c r="BC163" s="565"/>
    </row>
    <row r="164" spans="1:55" ht="21" thickBot="1">
      <c r="B164" s="199"/>
      <c r="C164" s="183"/>
      <c r="D164" s="1497" t="s">
        <v>1013</v>
      </c>
      <c r="E164" s="367"/>
      <c r="F164" s="308"/>
      <c r="G164" s="1774"/>
      <c r="H164" s="308"/>
      <c r="I164" s="308"/>
      <c r="J164" s="308"/>
      <c r="K164" s="308"/>
      <c r="L164" s="308"/>
      <c r="M164" s="1795">
        <v>0</v>
      </c>
      <c r="N164" s="1776"/>
      <c r="P164" s="385"/>
      <c r="S164" s="384"/>
      <c r="T164" s="384"/>
      <c r="U164" s="384"/>
      <c r="V164" s="384"/>
      <c r="AY164" s="565"/>
      <c r="AZ164" s="565"/>
      <c r="BA164" s="565"/>
      <c r="BB164" s="565"/>
      <c r="BC164" s="565"/>
    </row>
    <row r="165" spans="1:55" ht="21" thickBot="1">
      <c r="B165" s="232"/>
      <c r="C165" s="234"/>
      <c r="D165" s="234"/>
      <c r="E165" s="514"/>
      <c r="F165" s="515"/>
      <c r="G165" s="516"/>
      <c r="H165" s="517"/>
      <c r="I165" s="517"/>
      <c r="J165" s="517"/>
      <c r="K165" s="517"/>
      <c r="L165" s="517"/>
      <c r="M165" s="586">
        <f>SUM(M161:M164)</f>
        <v>0</v>
      </c>
      <c r="N165" s="518"/>
      <c r="P165" s="385"/>
      <c r="S165" s="384"/>
      <c r="T165" s="384"/>
      <c r="U165" s="384"/>
      <c r="V165" s="384"/>
      <c r="AY165" s="565"/>
      <c r="AZ165" s="565"/>
      <c r="BA165" s="565"/>
      <c r="BB165" s="565"/>
      <c r="BC165" s="565"/>
    </row>
    <row r="166" spans="1:55" ht="21" thickBot="1">
      <c r="E166" s="562"/>
      <c r="F166" s="563"/>
      <c r="G166" s="563"/>
      <c r="H166" s="478" t="s">
        <v>346</v>
      </c>
      <c r="I166" s="564"/>
      <c r="J166" s="564"/>
      <c r="K166" s="564"/>
      <c r="L166" s="564"/>
      <c r="M166" s="587">
        <f ca="1">M90+M99+M106+M110+M116+M125+M128+M137+M142+M153+M156+M158+M165</f>
        <v>0</v>
      </c>
      <c r="P166" s="385"/>
      <c r="S166" s="384"/>
      <c r="T166" s="384"/>
      <c r="U166" s="384"/>
      <c r="V166" s="384"/>
      <c r="AY166" s="565"/>
      <c r="AZ166" s="565"/>
      <c r="BA166" s="565"/>
      <c r="BB166" s="565"/>
      <c r="BC166" s="565"/>
    </row>
    <row r="167" spans="1:55">
      <c r="F167" s="476"/>
      <c r="G167" s="476"/>
      <c r="H167" s="567"/>
      <c r="I167" s="567"/>
      <c r="J167" s="567"/>
      <c r="K167" s="567"/>
      <c r="L167" s="567"/>
      <c r="P167" s="385"/>
      <c r="S167" s="384"/>
      <c r="T167" s="384"/>
      <c r="U167" s="384"/>
      <c r="V167" s="384"/>
      <c r="AY167" s="565"/>
      <c r="AZ167" s="565"/>
      <c r="BA167" s="565"/>
      <c r="BB167" s="565"/>
      <c r="BC167" s="565"/>
    </row>
    <row r="168" spans="1:55">
      <c r="B168" s="1944"/>
      <c r="C168" s="1945"/>
      <c r="D168" s="1945"/>
      <c r="E168" s="1945"/>
      <c r="F168" s="1945"/>
      <c r="G168" s="1945"/>
      <c r="H168" s="1945"/>
      <c r="I168" s="1945"/>
      <c r="J168" s="1945"/>
      <c r="K168" s="1945"/>
      <c r="L168" s="1945"/>
      <c r="M168" s="1945"/>
      <c r="N168" s="1946"/>
      <c r="P168" s="385"/>
      <c r="S168" s="384"/>
      <c r="T168" s="384"/>
      <c r="U168" s="384"/>
      <c r="V168" s="384"/>
      <c r="AY168" s="565"/>
      <c r="AZ168" s="565"/>
      <c r="BA168" s="565"/>
      <c r="BB168" s="565"/>
      <c r="BC168" s="565"/>
    </row>
    <row r="169" spans="1:55">
      <c r="B169" s="1945"/>
      <c r="C169" s="1945"/>
      <c r="D169" s="1945"/>
      <c r="E169" s="1945"/>
      <c r="F169" s="1945"/>
      <c r="G169" s="1945"/>
      <c r="H169" s="1945"/>
      <c r="I169" s="1945"/>
      <c r="J169" s="1945"/>
      <c r="K169" s="1945"/>
      <c r="L169" s="1945"/>
      <c r="M169" s="1945"/>
      <c r="N169" s="1946"/>
      <c r="P169" s="385"/>
      <c r="S169" s="384"/>
      <c r="T169" s="384"/>
      <c r="U169" s="384"/>
      <c r="V169" s="384"/>
      <c r="AY169" s="565"/>
      <c r="AZ169" s="565"/>
      <c r="BA169" s="565"/>
      <c r="BB169" s="565"/>
      <c r="BC169" s="565"/>
    </row>
    <row r="170" spans="1:55">
      <c r="B170" s="1945"/>
      <c r="C170" s="1945"/>
      <c r="D170" s="1945"/>
      <c r="E170" s="1945"/>
      <c r="F170" s="1945"/>
      <c r="G170" s="1945"/>
      <c r="H170" s="1945"/>
      <c r="I170" s="1945"/>
      <c r="J170" s="1945"/>
      <c r="K170" s="1945"/>
      <c r="L170" s="1945"/>
      <c r="M170" s="1945"/>
      <c r="N170" s="1946"/>
      <c r="P170" s="385"/>
      <c r="S170" s="384"/>
      <c r="T170" s="384"/>
      <c r="U170" s="384"/>
      <c r="V170" s="384"/>
    </row>
    <row r="171" spans="1:55">
      <c r="B171" s="1945"/>
      <c r="C171" s="1945"/>
      <c r="D171" s="1945"/>
      <c r="E171" s="1945"/>
      <c r="F171" s="1945"/>
      <c r="G171" s="1945"/>
      <c r="H171" s="1945"/>
      <c r="I171" s="1945"/>
      <c r="J171" s="1945"/>
      <c r="K171" s="1945"/>
      <c r="L171" s="1945"/>
      <c r="M171" s="1945"/>
      <c r="N171" s="1946"/>
      <c r="P171" s="385"/>
      <c r="S171" s="384"/>
      <c r="T171" s="384"/>
      <c r="U171" s="384"/>
      <c r="V171" s="384"/>
    </row>
    <row r="172" spans="1:55">
      <c r="B172" s="1945"/>
      <c r="C172" s="1945"/>
      <c r="D172" s="1945"/>
      <c r="E172" s="1945"/>
      <c r="F172" s="1945"/>
      <c r="G172" s="1945"/>
      <c r="H172" s="1945"/>
      <c r="I172" s="1945"/>
      <c r="J172" s="1945"/>
      <c r="K172" s="1945"/>
      <c r="L172" s="1945"/>
      <c r="M172" s="1945"/>
      <c r="N172" s="1946"/>
      <c r="P172" s="385"/>
    </row>
    <row r="173" spans="1:55">
      <c r="B173" s="1945"/>
      <c r="C173" s="1945"/>
      <c r="D173" s="1945"/>
      <c r="E173" s="1945"/>
      <c r="F173" s="1945"/>
      <c r="G173" s="1945"/>
      <c r="H173" s="1945"/>
      <c r="I173" s="1945"/>
      <c r="J173" s="1945"/>
      <c r="K173" s="1945"/>
      <c r="L173" s="1945"/>
      <c r="M173" s="1945"/>
      <c r="N173" s="1946"/>
      <c r="P173" s="385"/>
    </row>
    <row r="174" spans="1:55">
      <c r="B174" s="1945"/>
      <c r="C174" s="1945"/>
      <c r="D174" s="1945"/>
      <c r="E174" s="1945"/>
      <c r="F174" s="1945"/>
      <c r="G174" s="1945"/>
      <c r="H174" s="1945"/>
      <c r="I174" s="1945"/>
      <c r="J174" s="1945"/>
      <c r="K174" s="1945"/>
      <c r="L174" s="1945"/>
      <c r="M174" s="1945"/>
      <c r="N174" s="1946"/>
      <c r="P174" s="385"/>
    </row>
    <row r="175" spans="1:55" hidden="1">
      <c r="F175" s="476"/>
      <c r="G175" s="1322"/>
      <c r="P175" s="385"/>
    </row>
    <row r="176" spans="1:55" hidden="1">
      <c r="F176" s="476"/>
      <c r="G176" s="1322"/>
      <c r="P176" s="385"/>
    </row>
    <row r="177" spans="6:16" hidden="1">
      <c r="F177" s="476"/>
      <c r="G177" s="1322"/>
      <c r="P177" s="385"/>
    </row>
    <row r="178" spans="6:16" hidden="1">
      <c r="F178" s="476"/>
      <c r="G178" s="1322"/>
      <c r="P178" s="385"/>
    </row>
    <row r="179" spans="6:16" hidden="1">
      <c r="F179" s="476"/>
      <c r="G179" s="1322"/>
    </row>
    <row r="180" spans="6:16" hidden="1"/>
    <row r="181" spans="6:16" hidden="1"/>
    <row r="182" spans="6:16" hidden="1"/>
    <row r="183" spans="6:16" hidden="1"/>
    <row r="184" spans="6:16" hidden="1"/>
    <row r="185" spans="6:16" hidden="1"/>
    <row r="186" spans="6:16" hidden="1"/>
    <row r="187" spans="6:16" hidden="1"/>
    <row r="188" spans="6:16" hidden="1"/>
    <row r="189" spans="6:16" hidden="1"/>
    <row r="190" spans="6:16" hidden="1"/>
    <row r="191" spans="6:16" hidden="1"/>
    <row r="192" spans="6:16" hidden="1"/>
    <row r="193" hidden="1"/>
    <row r="194" hidden="1"/>
    <row r="195" hidden="1"/>
    <row r="196" hidden="1"/>
    <row r="197" hidden="1"/>
    <row r="198" hidden="1"/>
    <row r="199" hidden="1"/>
    <row r="200" hidden="1"/>
    <row r="201" hidden="1"/>
    <row r="202" hidden="1"/>
  </sheetData>
  <sheetProtection algorithmName="SHA-512" hashValue="vAgKpQBNEae2nccUZ4Ja+VukXVRW6qH1I5FCEfAvhkn/dZCO8pBuBhTI+4EvXXGwluIs6tuNLsvrGK9JBaU4Pw==" saltValue="22a23MC9bQPCG7scge22EQ==" spinCount="100000" sheet="1" objects="1" scenarios="1"/>
  <customSheetViews>
    <customSheetView guid="{82538F0F-5202-4835-8386-243FA62C9FC1}" scale="70" showPageBreaks="1" fitToPage="1" printArea="1" view="pageBreakPreview">
      <selection activeCell="D4" sqref="D4"/>
      <rowBreaks count="2" manualBreakCount="2">
        <brk id="50" min="1" max="14" man="1"/>
        <brk id="91" min="1" max="14" man="1"/>
      </rowBreaks>
      <pageMargins left="1" right="0.5" top="0.75" bottom="0.75" header="0.5" footer="0.5"/>
      <printOptions horizontalCentered="1"/>
      <pageSetup scale="50" fitToHeight="0" orientation="landscape" horizontalDpi="4294967292" r:id="rId1"/>
      <headerFooter alignWithMargins="0"/>
    </customSheetView>
  </customSheetViews>
  <mergeCells count="3">
    <mergeCell ref="B168:N174"/>
    <mergeCell ref="E1:J1"/>
    <mergeCell ref="E3:J3"/>
  </mergeCells>
  <phoneticPr fontId="0" type="noConversion"/>
  <printOptions horizontalCentered="1"/>
  <pageMargins left="1" right="0.5" top="0.75" bottom="0.75" header="0.5" footer="0.5"/>
  <pageSetup scale="50" fitToHeight="0" orientation="landscape" horizontalDpi="4294967292" r:id="rId2"/>
  <headerFooter alignWithMargins="0"/>
  <rowBreaks count="3" manualBreakCount="3">
    <brk id="50" min="1" max="14" man="1"/>
    <brk id="116" min="1" max="14" man="1"/>
    <brk id="158"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sheetPr>
  <dimension ref="A1:O103"/>
  <sheetViews>
    <sheetView topLeftCell="B1" zoomScale="70" zoomScaleNormal="70" workbookViewId="0">
      <selection activeCell="I22" sqref="I22"/>
    </sheetView>
  </sheetViews>
  <sheetFormatPr defaultColWidth="0" defaultRowHeight="15.75" zeroHeight="1"/>
  <cols>
    <col min="1" max="1" width="8.625" hidden="1" customWidth="1"/>
    <col min="2" max="2" width="3.75" customWidth="1"/>
    <col min="3" max="3" width="10" customWidth="1"/>
    <col min="4" max="4" width="47.5" customWidth="1"/>
    <col min="5" max="5" width="22.5" customWidth="1"/>
    <col min="6" max="8" width="15" customWidth="1"/>
    <col min="9" max="9" width="22.5" customWidth="1"/>
    <col min="10" max="13" width="15" customWidth="1"/>
    <col min="14" max="14" width="8.75" customWidth="1"/>
    <col min="15" max="15" width="0" hidden="1" customWidth="1"/>
    <col min="16" max="16384" width="9" hidden="1"/>
  </cols>
  <sheetData>
    <row r="1" spans="1:14" ht="19.5" customHeight="1">
      <c r="B1" s="1410" t="s">
        <v>248</v>
      </c>
      <c r="C1" s="371"/>
      <c r="D1" s="1411"/>
      <c r="E1" s="1951" t="s">
        <v>137</v>
      </c>
      <c r="F1" s="1952"/>
      <c r="G1" s="1952"/>
      <c r="H1" s="1952"/>
      <c r="I1" s="1952"/>
      <c r="J1" s="1952"/>
      <c r="K1" s="1411"/>
      <c r="L1" s="1412" t="str">
        <f>'Facility Info'!$F$1</f>
        <v>Last Update:</v>
      </c>
      <c r="M1" s="1413">
        <f>'Facility Info'!$G$1</f>
        <v>43902</v>
      </c>
      <c r="N1" s="1414"/>
    </row>
    <row r="2" spans="1:14" ht="19.5" customHeight="1">
      <c r="B2" s="1415"/>
      <c r="C2" s="1416"/>
      <c r="D2" s="1417"/>
      <c r="E2" s="1418"/>
      <c r="F2" s="1419"/>
      <c r="G2" s="1420"/>
      <c r="H2" s="1421"/>
      <c r="I2" s="1421"/>
      <c r="J2" s="1421"/>
      <c r="K2" s="1416"/>
      <c r="L2" s="1422" t="str">
        <f>'Facility Info'!$F$2</f>
        <v>Today's Date:</v>
      </c>
      <c r="M2" s="1409">
        <f ca="1">'Facility Info'!$G$2</f>
        <v>43944.347985416665</v>
      </c>
      <c r="N2" s="1423"/>
    </row>
    <row r="3" spans="1:14" ht="19.5" customHeight="1">
      <c r="B3" s="1424"/>
      <c r="C3" s="1425"/>
      <c r="D3" s="1426"/>
      <c r="E3" s="1942" t="str">
        <f>FAC_INFO_HSP_PROJECT_NAME</f>
        <v>Proposed Project</v>
      </c>
      <c r="F3" s="1943"/>
      <c r="G3" s="1943"/>
      <c r="H3" s="1943"/>
      <c r="I3" s="1943"/>
      <c r="J3" s="1943"/>
      <c r="K3" s="1427"/>
      <c r="L3" s="1427"/>
      <c r="M3" s="1426"/>
      <c r="N3" s="1428"/>
    </row>
    <row r="4" spans="1:14" ht="19.5" customHeight="1" thickBot="1">
      <c r="B4" s="1429"/>
      <c r="C4" s="1430"/>
      <c r="D4" s="371"/>
      <c r="E4" s="1431"/>
      <c r="F4" s="1432"/>
      <c r="G4" s="1433"/>
      <c r="H4" s="1434"/>
      <c r="I4" s="1434"/>
      <c r="J4" s="1435"/>
      <c r="K4" s="1434"/>
      <c r="L4" s="1434"/>
      <c r="M4" s="1430"/>
      <c r="N4" s="1436"/>
    </row>
    <row r="5" spans="1:14" ht="19.5" customHeight="1">
      <c r="B5" s="1437"/>
      <c r="C5" s="1438"/>
      <c r="D5" s="1439"/>
      <c r="E5" s="1440"/>
      <c r="F5" s="1441"/>
      <c r="G5" s="1442"/>
      <c r="H5" s="1443"/>
      <c r="I5" s="1443"/>
      <c r="J5" s="1443"/>
      <c r="K5" s="1443"/>
      <c r="L5" s="1443"/>
      <c r="M5" s="1438"/>
      <c r="N5" s="1444"/>
    </row>
    <row r="6" spans="1:14" ht="19.5" customHeight="1">
      <c r="B6" s="1445" t="s">
        <v>871</v>
      </c>
      <c r="C6" s="1446"/>
      <c r="D6" s="1447"/>
      <c r="E6" s="1448"/>
      <c r="F6" s="1449"/>
      <c r="G6" s="1450"/>
      <c r="H6" s="1451"/>
      <c r="I6" s="1451"/>
      <c r="J6" s="1451"/>
      <c r="K6" s="1451"/>
      <c r="L6" s="1451"/>
      <c r="M6" s="1451"/>
      <c r="N6" s="1452"/>
    </row>
    <row r="7" spans="1:14" ht="19.5" customHeight="1">
      <c r="B7" s="1453"/>
      <c r="C7" s="1454" t="s">
        <v>144</v>
      </c>
      <c r="D7" s="1447"/>
      <c r="E7" s="1455" t="s">
        <v>145</v>
      </c>
      <c r="F7" s="1456" t="s">
        <v>146</v>
      </c>
      <c r="G7" s="1456" t="s">
        <v>289</v>
      </c>
      <c r="H7" s="1457" t="s">
        <v>287</v>
      </c>
      <c r="I7" s="1457" t="s">
        <v>145</v>
      </c>
      <c r="J7" s="1456" t="s">
        <v>146</v>
      </c>
      <c r="K7" s="1457" t="s">
        <v>289</v>
      </c>
      <c r="L7" s="1457" t="s">
        <v>287</v>
      </c>
      <c r="M7" s="1458" t="s">
        <v>147</v>
      </c>
      <c r="N7" s="1459" t="s">
        <v>795</v>
      </c>
    </row>
    <row r="8" spans="1:14" ht="19.5" customHeight="1" thickBot="1">
      <c r="B8" s="1460"/>
      <c r="C8" s="1461"/>
      <c r="D8" s="1462" t="s">
        <v>149</v>
      </c>
      <c r="E8" s="1463"/>
      <c r="F8" s="1464"/>
      <c r="G8" s="1464"/>
      <c r="H8" s="1465"/>
      <c r="I8" s="1465"/>
      <c r="J8" s="1465"/>
      <c r="K8" s="1465"/>
      <c r="L8" s="1465"/>
      <c r="M8" s="1466"/>
      <c r="N8" s="1467"/>
    </row>
    <row r="9" spans="1:14" ht="19.5" customHeight="1">
      <c r="B9" s="1471"/>
      <c r="C9" s="1478"/>
      <c r="D9" s="1513"/>
      <c r="E9" s="1514"/>
      <c r="F9" s="1515"/>
      <c r="G9" s="1516"/>
      <c r="H9" s="1517"/>
      <c r="I9" s="1517"/>
      <c r="J9" s="1517"/>
      <c r="K9" s="1517"/>
      <c r="L9" s="1517"/>
      <c r="M9" s="1518"/>
      <c r="N9" s="1519"/>
    </row>
    <row r="10" spans="1:14" ht="19.5" customHeight="1" thickBot="1">
      <c r="B10" s="1520" t="s">
        <v>872</v>
      </c>
      <c r="C10" s="1521"/>
      <c r="D10" s="1522"/>
      <c r="E10" s="1523"/>
      <c r="F10" s="1524"/>
      <c r="G10" s="1524"/>
      <c r="H10" s="1524"/>
      <c r="I10" s="1524"/>
      <c r="J10" s="1524"/>
      <c r="K10" s="1524"/>
      <c r="L10" s="1524"/>
      <c r="M10" s="1525"/>
      <c r="N10" s="1526"/>
    </row>
    <row r="11" spans="1:14" ht="19.5" customHeight="1">
      <c r="B11" s="1527"/>
      <c r="C11" s="1470" t="s">
        <v>839</v>
      </c>
      <c r="D11" s="1485"/>
      <c r="E11" s="1528"/>
      <c r="F11" s="1529"/>
      <c r="G11" s="1529"/>
      <c r="H11" s="1529"/>
      <c r="I11" s="1529"/>
      <c r="J11" s="1529"/>
      <c r="K11" s="1529"/>
      <c r="L11" s="1529"/>
      <c r="M11" s="1530"/>
      <c r="N11" s="1531"/>
    </row>
    <row r="12" spans="1:14" ht="19.5" customHeight="1">
      <c r="A12" s="1546" t="s">
        <v>883</v>
      </c>
      <c r="B12" s="1474"/>
      <c r="C12" s="1478"/>
      <c r="D12" s="1473" t="s">
        <v>873</v>
      </c>
      <c r="E12" s="1490" t="s">
        <v>157</v>
      </c>
      <c r="F12" s="1504">
        <v>0</v>
      </c>
      <c r="G12" s="1509">
        <v>5</v>
      </c>
      <c r="H12" s="1475">
        <v>1.1000000000000001</v>
      </c>
      <c r="I12" s="1532" t="s">
        <v>874</v>
      </c>
      <c r="J12" s="1504">
        <v>15000</v>
      </c>
      <c r="K12" s="1504">
        <v>3333</v>
      </c>
      <c r="L12" s="1475">
        <v>0.55000000000000004</v>
      </c>
      <c r="M12" s="1475">
        <f>F12+IF(FAC_INFO_Nutrition&gt;=J12,(FAC_INFO_Nutrition-J12)*L12/K12+G12,FAC_INFO_Nutrition*H12/K12)</f>
        <v>0</v>
      </c>
      <c r="N12" s="1533">
        <f>-M14</f>
        <v>0</v>
      </c>
    </row>
    <row r="13" spans="1:14" ht="19.5" customHeight="1">
      <c r="A13" s="1546" t="s">
        <v>886</v>
      </c>
      <c r="B13" s="1474"/>
      <c r="C13" s="1478"/>
      <c r="D13" s="1473" t="s">
        <v>875</v>
      </c>
      <c r="E13" s="1490" t="s">
        <v>157</v>
      </c>
      <c r="F13" s="1504">
        <v>0</v>
      </c>
      <c r="G13" s="1534">
        <v>2.25</v>
      </c>
      <c r="H13" s="1475">
        <v>0.5</v>
      </c>
      <c r="I13" s="1532" t="s">
        <v>874</v>
      </c>
      <c r="J13" s="1504">
        <v>15000</v>
      </c>
      <c r="K13" s="1504">
        <v>3333</v>
      </c>
      <c r="L13" s="1475">
        <v>0.25</v>
      </c>
      <c r="M13" s="1475">
        <f>F13+IF(FAC_INFO_Nutrition&gt;=J13,(FAC_INFO_Nutrition-J13)*L13/K13+G13,FAC_INFO_Nutrition/K13*H13)</f>
        <v>0</v>
      </c>
      <c r="N13" s="1535"/>
    </row>
    <row r="14" spans="1:14" ht="19.5" customHeight="1">
      <c r="A14" s="1546" t="s">
        <v>889</v>
      </c>
      <c r="B14" s="1474"/>
      <c r="C14" s="1478"/>
      <c r="D14" s="1473" t="s">
        <v>368</v>
      </c>
      <c r="E14" s="1490" t="s">
        <v>876</v>
      </c>
      <c r="F14" s="1504">
        <v>1</v>
      </c>
      <c r="G14" s="1504"/>
      <c r="H14" s="1475">
        <v>1</v>
      </c>
      <c r="I14" s="1532"/>
      <c r="J14" s="1504"/>
      <c r="K14" s="1504"/>
      <c r="L14" s="1475"/>
      <c r="M14" s="1475">
        <f>IF(M12&gt;H14,F14,0)</f>
        <v>0</v>
      </c>
      <c r="N14" s="1535"/>
    </row>
    <row r="15" spans="1:14" ht="19.5" customHeight="1">
      <c r="A15" s="1546" t="s">
        <v>890</v>
      </c>
      <c r="B15" s="1474"/>
      <c r="C15" s="1478"/>
      <c r="D15" s="1473" t="s">
        <v>877</v>
      </c>
      <c r="E15" s="1490" t="s">
        <v>876</v>
      </c>
      <c r="F15" s="1504">
        <v>1</v>
      </c>
      <c r="G15" s="1504">
        <v>5</v>
      </c>
      <c r="H15" s="1475">
        <v>1</v>
      </c>
      <c r="I15" s="1532"/>
      <c r="J15" s="1504"/>
      <c r="K15" s="1504"/>
      <c r="L15" s="1475"/>
      <c r="M15" s="1475">
        <f>IF(M12&gt;=G15,H15,0)</f>
        <v>0</v>
      </c>
      <c r="N15" s="1535"/>
    </row>
    <row r="16" spans="1:14" ht="19.5" customHeight="1" thickBot="1">
      <c r="A16" s="1546"/>
      <c r="B16" s="1482"/>
      <c r="C16" s="1500"/>
      <c r="D16" s="1481"/>
      <c r="E16" s="1536"/>
      <c r="F16" s="1537"/>
      <c r="G16" s="1537"/>
      <c r="H16" s="1537"/>
      <c r="I16" s="1537"/>
      <c r="J16" s="1537"/>
      <c r="K16" s="1537"/>
      <c r="L16" s="1537"/>
      <c r="M16" s="1538">
        <f>SUM(M12:M15)+N12</f>
        <v>0</v>
      </c>
      <c r="N16" s="1539"/>
    </row>
    <row r="17" spans="1:15" ht="19.5" customHeight="1">
      <c r="A17" s="1543"/>
      <c r="B17" s="1527"/>
      <c r="C17" s="1540" t="s">
        <v>840</v>
      </c>
      <c r="D17" s="1485"/>
      <c r="E17" s="1528"/>
      <c r="F17" s="1529"/>
      <c r="G17" s="1529"/>
      <c r="H17" s="1529"/>
      <c r="I17" s="1529"/>
      <c r="J17" s="1529"/>
      <c r="K17" s="1529"/>
      <c r="L17" s="1529"/>
      <c r="M17" s="1530"/>
      <c r="N17" s="1541"/>
    </row>
    <row r="18" spans="1:15" ht="19.5" customHeight="1">
      <c r="A18" s="1546" t="s">
        <v>892</v>
      </c>
      <c r="B18" s="1474"/>
      <c r="C18" s="1472"/>
      <c r="D18" s="1506" t="s">
        <v>878</v>
      </c>
      <c r="E18" s="1542" t="s">
        <v>157</v>
      </c>
      <c r="F18" s="1507">
        <v>1</v>
      </c>
      <c r="G18" s="1507">
        <v>1250</v>
      </c>
      <c r="H18" s="1508">
        <v>1</v>
      </c>
      <c r="I18" s="1508"/>
      <c r="J18" s="1508"/>
      <c r="K18" s="1508"/>
      <c r="L18" s="1508"/>
      <c r="M18" s="1508">
        <f>IF('Facility Info'!F32&gt;G18,H18,0)</f>
        <v>0</v>
      </c>
      <c r="N18" s="1535"/>
      <c r="O18" s="416"/>
    </row>
    <row r="19" spans="1:15" ht="19.5" customHeight="1">
      <c r="A19" s="1546" t="s">
        <v>893</v>
      </c>
      <c r="B19" s="1474"/>
      <c r="C19" s="1472"/>
      <c r="D19" s="1473" t="s">
        <v>879</v>
      </c>
      <c r="E19" s="1490" t="s">
        <v>288</v>
      </c>
      <c r="F19" s="1504">
        <v>1250</v>
      </c>
      <c r="G19" s="1504"/>
      <c r="H19" s="1475">
        <v>1.58</v>
      </c>
      <c r="I19" s="1475"/>
      <c r="J19" s="1475"/>
      <c r="K19" s="1475"/>
      <c r="L19" s="1475"/>
      <c r="M19" s="1475">
        <f>H19*'Facility Info'!F32/F19</f>
        <v>0</v>
      </c>
      <c r="N19" s="1535"/>
    </row>
    <row r="20" spans="1:15" ht="19.5" customHeight="1">
      <c r="A20" s="1546" t="s">
        <v>894</v>
      </c>
      <c r="B20" s="1474"/>
      <c r="C20" s="1472"/>
      <c r="D20" s="1473" t="s">
        <v>880</v>
      </c>
      <c r="E20" s="1490" t="s">
        <v>288</v>
      </c>
      <c r="F20" s="1504">
        <v>1250</v>
      </c>
      <c r="G20" s="1504"/>
      <c r="H20" s="1475">
        <v>7.0000000000000007E-2</v>
      </c>
      <c r="I20" s="1475"/>
      <c r="J20" s="1475"/>
      <c r="K20" s="1475"/>
      <c r="L20" s="1475"/>
      <c r="M20" s="1475">
        <f>IF('Outpatient Workload'!D45=3,0,H20*'Facility Info'!F32/F20)</f>
        <v>0</v>
      </c>
      <c r="N20" s="1535"/>
    </row>
    <row r="21" spans="1:15" ht="19.5" customHeight="1">
      <c r="A21" s="1546"/>
      <c r="B21" s="1474"/>
      <c r="C21" s="1472"/>
      <c r="D21" s="1492" t="s">
        <v>881</v>
      </c>
      <c r="E21" s="1544" t="s">
        <v>882</v>
      </c>
      <c r="F21" s="1545">
        <v>1250</v>
      </c>
      <c r="G21" s="1545">
        <v>1250</v>
      </c>
      <c r="H21" s="1493">
        <v>9.6000000000000002E-2</v>
      </c>
      <c r="I21" s="1493"/>
      <c r="J21" s="1493"/>
      <c r="K21" s="1493"/>
      <c r="L21" s="1493"/>
      <c r="M21" s="1493">
        <f>IF('Outpatient Workload'!D46=0,0,IF('Facility Info'!F32&lt;G21,0,('Facility Info'!F32-G21)/F21*H21))</f>
        <v>0</v>
      </c>
      <c r="N21" s="1535"/>
    </row>
    <row r="22" spans="1:15" ht="19.5" customHeight="1">
      <c r="A22" s="1546"/>
      <c r="B22" s="1474"/>
      <c r="C22" s="1472"/>
      <c r="D22" s="1492" t="s">
        <v>884</v>
      </c>
      <c r="E22" s="1544" t="s">
        <v>885</v>
      </c>
      <c r="F22" s="1545">
        <v>1</v>
      </c>
      <c r="G22" s="1545">
        <v>1250</v>
      </c>
      <c r="H22" s="1493">
        <v>3.4000000000000002E-2</v>
      </c>
      <c r="I22" s="1493"/>
      <c r="J22" s="1493"/>
      <c r="K22" s="1493"/>
      <c r="L22" s="1493"/>
      <c r="M22" s="1493">
        <f>IF('Facility Info'!F32&lt;G22,0,'Outpatient Workload'!D47/F22*H22)</f>
        <v>0</v>
      </c>
      <c r="N22" s="1535"/>
      <c r="O22" s="1434"/>
    </row>
    <row r="23" spans="1:15" ht="19.5" customHeight="1">
      <c r="A23" s="1546"/>
      <c r="B23" s="1474"/>
      <c r="C23" s="1472"/>
      <c r="D23" s="1492" t="s">
        <v>887</v>
      </c>
      <c r="E23" s="1544" t="s">
        <v>888</v>
      </c>
      <c r="F23" s="1545">
        <v>10</v>
      </c>
      <c r="G23" s="1545">
        <v>5</v>
      </c>
      <c r="H23" s="1493">
        <v>1</v>
      </c>
      <c r="I23" s="1493"/>
      <c r="J23" s="1493"/>
      <c r="K23" s="1493"/>
      <c r="L23" s="1493"/>
      <c r="M23" s="1493">
        <f>IF('Outpatient Workload'!D48&lt;G23,0,('Outpatient Workload'!D48-G23)/F23*H23)</f>
        <v>0</v>
      </c>
      <c r="N23" s="1535"/>
      <c r="O23" s="1434"/>
    </row>
    <row r="24" spans="1:15" ht="19.5" customHeight="1">
      <c r="A24" s="1546" t="s">
        <v>898</v>
      </c>
      <c r="B24" s="1474"/>
      <c r="C24" s="1472"/>
      <c r="D24" s="1473" t="s">
        <v>165</v>
      </c>
      <c r="E24" s="1490" t="s">
        <v>288</v>
      </c>
      <c r="F24" s="1504">
        <v>1250</v>
      </c>
      <c r="G24" s="1504"/>
      <c r="H24" s="1475">
        <v>0.2</v>
      </c>
      <c r="I24" s="1475"/>
      <c r="J24" s="1475"/>
      <c r="K24" s="1475"/>
      <c r="L24" s="1475"/>
      <c r="M24" s="1475">
        <f>H24*'Facility Info'!F32/F24</f>
        <v>0</v>
      </c>
      <c r="N24" s="1535"/>
      <c r="O24" s="1434"/>
    </row>
    <row r="25" spans="1:15" ht="19.5" customHeight="1" thickBot="1">
      <c r="A25" s="1546"/>
      <c r="B25" s="1482"/>
      <c r="C25" s="1480"/>
      <c r="D25" s="1547"/>
      <c r="E25" s="1536"/>
      <c r="F25" s="1537"/>
      <c r="G25" s="1537"/>
      <c r="H25" s="1537"/>
      <c r="I25" s="1537"/>
      <c r="J25" s="1537"/>
      <c r="K25" s="1537"/>
      <c r="L25" s="1537"/>
      <c r="M25" s="1538">
        <f>SUM(M18:M24)</f>
        <v>0</v>
      </c>
      <c r="N25" s="1539"/>
      <c r="O25" s="1434"/>
    </row>
    <row r="26" spans="1:15" ht="19.5" customHeight="1">
      <c r="A26" s="1543"/>
      <c r="B26" s="1527"/>
      <c r="C26" s="1540" t="s">
        <v>841</v>
      </c>
      <c r="D26" s="1485"/>
      <c r="E26" s="1528"/>
      <c r="F26" s="1529"/>
      <c r="G26" s="1529"/>
      <c r="H26" s="1529"/>
      <c r="I26" s="1529"/>
      <c r="J26" s="1529"/>
      <c r="K26" s="1529"/>
      <c r="L26" s="1529"/>
      <c r="M26" s="1530"/>
      <c r="N26" s="1541"/>
      <c r="O26" s="1434"/>
    </row>
    <row r="27" spans="1:15" ht="19.5" customHeight="1">
      <c r="A27" s="1543" t="s">
        <v>903</v>
      </c>
      <c r="B27" s="1548"/>
      <c r="C27" s="1549"/>
      <c r="D27" s="1550" t="s">
        <v>891</v>
      </c>
      <c r="E27" s="1551" t="s">
        <v>157</v>
      </c>
      <c r="F27" s="1494">
        <v>4000</v>
      </c>
      <c r="G27" s="1494">
        <v>1000</v>
      </c>
      <c r="H27" s="1489">
        <v>1</v>
      </c>
      <c r="I27" s="1532" t="s">
        <v>288</v>
      </c>
      <c r="J27" s="1504">
        <v>4000</v>
      </c>
      <c r="K27" s="1504">
        <v>4000</v>
      </c>
      <c r="L27" s="1475">
        <v>0.25</v>
      </c>
      <c r="M27" s="1489">
        <f>L27*'Facility Info'!$K$52</f>
        <v>0</v>
      </c>
      <c r="N27" s="1533">
        <f>-M31-M32</f>
        <v>0</v>
      </c>
      <c r="O27" s="416"/>
    </row>
    <row r="28" spans="1:15" ht="19.5" customHeight="1">
      <c r="A28" s="1543"/>
      <c r="B28" s="1552"/>
      <c r="C28" s="1553"/>
      <c r="D28" s="1469"/>
      <c r="E28" s="1554"/>
      <c r="F28" s="1555">
        <v>6000</v>
      </c>
      <c r="G28" s="1555">
        <v>20000</v>
      </c>
      <c r="H28" s="1556">
        <v>1</v>
      </c>
      <c r="I28" s="1557"/>
      <c r="J28" s="1558"/>
      <c r="K28" s="1558"/>
      <c r="L28" s="1559"/>
      <c r="M28" s="1489">
        <f>IF(FAC_INFO_Health_Education&gt;=G27,IF(FAC_INFO_Health_Education&lt;G28,H27*FAC_INFO_Health_Education/F27,H27*G28/F27),0)</f>
        <v>0</v>
      </c>
      <c r="N28" s="1535"/>
      <c r="O28" s="1434"/>
    </row>
    <row r="29" spans="1:15" ht="19.5" customHeight="1">
      <c r="A29" s="1543"/>
      <c r="B29" s="1552"/>
      <c r="C29" s="1553"/>
      <c r="D29" s="1469"/>
      <c r="E29" s="1554"/>
      <c r="F29" s="1555">
        <v>8000</v>
      </c>
      <c r="G29" s="1555">
        <v>40000</v>
      </c>
      <c r="H29" s="1556">
        <v>1</v>
      </c>
      <c r="I29" s="1557"/>
      <c r="J29" s="1558"/>
      <c r="K29" s="1558"/>
      <c r="L29" s="1559"/>
      <c r="M29" s="1489">
        <f>IF(FAC_INFO_Health_Education&gt;=G28,IF(FAC_INFO_Health_Education&lt;G29,(H28*FAC_INFO_Health_Education-G28)/F28,H28*(G29-G28)/F28),0)</f>
        <v>0</v>
      </c>
      <c r="N29" s="1535"/>
      <c r="O29" s="1434"/>
    </row>
    <row r="30" spans="1:15" ht="19.5" customHeight="1">
      <c r="A30" s="1543"/>
      <c r="B30" s="1552"/>
      <c r="C30" s="1553"/>
      <c r="D30" s="1469"/>
      <c r="E30" s="1554"/>
      <c r="F30" s="1555">
        <v>10000</v>
      </c>
      <c r="G30" s="1555">
        <v>60000</v>
      </c>
      <c r="H30" s="1556">
        <v>1</v>
      </c>
      <c r="I30" s="1557"/>
      <c r="J30" s="1558"/>
      <c r="K30" s="1558"/>
      <c r="L30" s="1559"/>
      <c r="M30" s="1489">
        <f>IF(FAC_INFO_Health_Education&gt;=G29,IF(FAC_INFO_Health_Education&lt;G30,(H29*FAC_INFO_Health_Education-G29)/F29,((H30*FAC_INFO_Health_Education-G30)/F30)+(H29*(G30-G29)/F29)),0)</f>
        <v>0</v>
      </c>
      <c r="N30" s="1535"/>
      <c r="O30" s="1434"/>
    </row>
    <row r="31" spans="1:15" ht="19.5" customHeight="1">
      <c r="A31" s="1543" t="s">
        <v>842</v>
      </c>
      <c r="B31" s="1552"/>
      <c r="C31" s="1553"/>
      <c r="D31" s="1473" t="s">
        <v>895</v>
      </c>
      <c r="E31" s="1490" t="s">
        <v>896</v>
      </c>
      <c r="F31" s="1504">
        <v>1</v>
      </c>
      <c r="G31" s="1504"/>
      <c r="H31" s="1475">
        <v>1</v>
      </c>
      <c r="I31" s="1532"/>
      <c r="J31" s="1504"/>
      <c r="K31" s="1504"/>
      <c r="L31" s="1475"/>
      <c r="M31" s="1475">
        <f>IF(SUM(M27:M30)&gt;=F31,H31,0)</f>
        <v>0</v>
      </c>
      <c r="N31" s="1535"/>
      <c r="O31" s="1434"/>
    </row>
    <row r="32" spans="1:15" ht="19.5" customHeight="1">
      <c r="A32" s="1543" t="s">
        <v>843</v>
      </c>
      <c r="B32" s="1552"/>
      <c r="C32" s="1553"/>
      <c r="D32" s="1473" t="s">
        <v>897</v>
      </c>
      <c r="E32" s="1490" t="s">
        <v>896</v>
      </c>
      <c r="F32" s="1504">
        <v>5</v>
      </c>
      <c r="G32" s="1504"/>
      <c r="H32" s="1475">
        <v>1</v>
      </c>
      <c r="I32" s="1532"/>
      <c r="J32" s="1504"/>
      <c r="K32" s="1504"/>
      <c r="L32" s="1475"/>
      <c r="M32" s="1475">
        <f>IF(SUM(M27:M30)&gt;=F32,H32,0)</f>
        <v>0</v>
      </c>
      <c r="N32" s="1535"/>
      <c r="O32" s="1434"/>
    </row>
    <row r="33" spans="1:15" ht="19.5" customHeight="1" thickBot="1">
      <c r="A33" s="1546"/>
      <c r="B33" s="1482"/>
      <c r="C33" s="1480"/>
      <c r="D33" s="1560"/>
      <c r="E33" s="1536"/>
      <c r="F33" s="1537"/>
      <c r="G33" s="1537"/>
      <c r="H33" s="1537"/>
      <c r="I33" s="1537"/>
      <c r="J33" s="1537"/>
      <c r="K33" s="1537"/>
      <c r="L33" s="1537"/>
      <c r="M33" s="1538">
        <f>SUM(M27:M30)</f>
        <v>0</v>
      </c>
      <c r="N33" s="1539"/>
      <c r="O33" s="1434"/>
    </row>
    <row r="34" spans="1:15" ht="19.5" customHeight="1">
      <c r="A34" s="1546"/>
      <c r="B34" s="1527"/>
      <c r="C34" s="1540" t="s">
        <v>899</v>
      </c>
      <c r="D34" s="1485"/>
      <c r="E34" s="1528"/>
      <c r="F34" s="1529"/>
      <c r="G34" s="1529"/>
      <c r="H34" s="1529"/>
      <c r="I34" s="1529"/>
      <c r="J34" s="1529"/>
      <c r="K34" s="1529"/>
      <c r="L34" s="1529"/>
      <c r="M34" s="1530"/>
      <c r="N34" s="1541"/>
      <c r="O34" s="1434"/>
    </row>
    <row r="35" spans="1:15" ht="19.5" customHeight="1">
      <c r="A35" s="1546" t="s">
        <v>844</v>
      </c>
      <c r="B35" s="1548"/>
      <c r="C35" s="1549"/>
      <c r="D35" s="1469" t="s">
        <v>900</v>
      </c>
      <c r="E35" s="1554" t="s">
        <v>901</v>
      </c>
      <c r="F35" s="1561">
        <v>1.4</v>
      </c>
      <c r="G35" s="1494">
        <v>500</v>
      </c>
      <c r="H35" s="1494">
        <v>15000</v>
      </c>
      <c r="I35" s="1489">
        <v>0.95</v>
      </c>
      <c r="J35" s="1509">
        <v>0.5</v>
      </c>
      <c r="K35" s="1504">
        <v>25000</v>
      </c>
      <c r="L35" s="1475">
        <v>0.25</v>
      </c>
      <c r="M35" s="1489">
        <f>F35*(FAC_INFO_Health_Education&gt;=F36)
+(I35/G35)*((FAC_INFO_Health_Education-F36)*AND(FAC_INFO_Health_Education&lt;=H35,FAC_INFO_Health_Education&gt;F36)
+(H35-F36)*(FAC_INFO_Health_Education&gt;H35))
+(J35/G35)
*((FAC_INFO_Health_Education-H35)*AND(FAC_INFO_Health_Education&lt;=K35,FAC_INFO_Health_Education&gt;H35)
+(K35-H35)*(FAC_INFO_Health_Education&gt;K35))
+(L35/G35)*(FAC_INFO_Health_Education-K35)*(FAC_INFO_Health_Education&gt;K35)</f>
        <v>0</v>
      </c>
      <c r="N35" s="1562"/>
      <c r="O35" s="1434"/>
    </row>
    <row r="36" spans="1:15" ht="19.5" customHeight="1">
      <c r="A36" s="1546" t="s">
        <v>845</v>
      </c>
      <c r="B36" s="1552"/>
      <c r="C36" s="1553"/>
      <c r="D36" s="1550" t="s">
        <v>1017</v>
      </c>
      <c r="E36" s="1554" t="s">
        <v>901</v>
      </c>
      <c r="F36" s="1555">
        <v>1320</v>
      </c>
      <c r="G36" s="1555"/>
      <c r="H36" s="1556">
        <v>0.67</v>
      </c>
      <c r="I36" s="1557" t="s">
        <v>902</v>
      </c>
      <c r="J36" s="1558">
        <v>1</v>
      </c>
      <c r="K36" s="1558">
        <v>10</v>
      </c>
      <c r="L36" s="1559">
        <v>0.1</v>
      </c>
      <c r="M36" s="1489">
        <f>((FAC_INFO_Health_Education&gt;F36)*H36)+
(M35&gt;=K36)*((J36*L36*(M35-K36)))</f>
        <v>0</v>
      </c>
      <c r="N36" s="1563"/>
      <c r="O36" s="416"/>
    </row>
    <row r="37" spans="1:15" ht="19.5" customHeight="1" thickBot="1">
      <c r="A37" s="1546"/>
      <c r="B37" s="1482"/>
      <c r="C37" s="1480"/>
      <c r="D37" s="1560"/>
      <c r="E37" s="1536"/>
      <c r="F37" s="1537"/>
      <c r="G37" s="1537"/>
      <c r="H37" s="1537"/>
      <c r="I37" s="1537"/>
      <c r="J37" s="1537"/>
      <c r="K37" s="1537"/>
      <c r="L37" s="1537"/>
      <c r="M37" s="1538">
        <f>SUM(M35:M36)</f>
        <v>0</v>
      </c>
      <c r="N37" s="1539"/>
      <c r="O37" s="416"/>
    </row>
    <row r="38" spans="1:15" ht="19.5" customHeight="1" thickBot="1">
      <c r="A38" s="1543"/>
      <c r="B38" s="1564" t="s">
        <v>858</v>
      </c>
      <c r="C38" s="1565"/>
      <c r="D38" s="1501"/>
      <c r="E38" s="1566"/>
      <c r="F38" s="1567"/>
      <c r="G38" s="1567"/>
      <c r="H38" s="1567"/>
      <c r="I38" s="1567"/>
      <c r="J38" s="1567"/>
      <c r="K38" s="1567"/>
      <c r="L38" s="1567"/>
      <c r="M38" s="1568"/>
      <c r="N38" s="1563"/>
      <c r="O38" s="416"/>
    </row>
    <row r="39" spans="1:15" ht="19.5" customHeight="1">
      <c r="A39" s="1546"/>
      <c r="B39" s="1527"/>
      <c r="C39" s="1540" t="s">
        <v>859</v>
      </c>
      <c r="D39" s="1485"/>
      <c r="E39" s="1528"/>
      <c r="F39" s="1529"/>
      <c r="G39" s="1529"/>
      <c r="H39" s="1529"/>
      <c r="I39" s="1529"/>
      <c r="J39" s="1529"/>
      <c r="K39" s="1529"/>
      <c r="L39" s="1529"/>
      <c r="M39" s="1530"/>
      <c r="N39" s="1541"/>
      <c r="O39" s="416"/>
    </row>
    <row r="40" spans="1:15" ht="19.5" customHeight="1">
      <c r="A40" s="1546" t="s">
        <v>913</v>
      </c>
      <c r="B40" s="1474"/>
      <c r="C40" s="1472"/>
      <c r="D40" s="1569" t="s">
        <v>904</v>
      </c>
      <c r="E40" s="1486" t="s">
        <v>874</v>
      </c>
      <c r="F40" s="1503">
        <v>1000</v>
      </c>
      <c r="G40" s="1488">
        <v>0.5</v>
      </c>
      <c r="H40" s="1487">
        <v>0.5</v>
      </c>
      <c r="I40" s="1487" t="s">
        <v>181</v>
      </c>
      <c r="J40" s="1487">
        <v>3</v>
      </c>
      <c r="K40" s="1487"/>
      <c r="L40" s="1487">
        <v>0.1</v>
      </c>
      <c r="M40" s="1489">
        <f>IF(FAC_INFO_Mental_Health &lt; F40,0,G40 + H40* (FAC_INFO_Mental_Health-F40)/F40 + ADPL/J40*L40)</f>
        <v>0</v>
      </c>
      <c r="N40" s="1533">
        <f>-M41</f>
        <v>0</v>
      </c>
      <c r="O40" s="416"/>
    </row>
    <row r="41" spans="1:15" ht="19.5" customHeight="1">
      <c r="A41" s="1546" t="s">
        <v>914</v>
      </c>
      <c r="B41" s="1474"/>
      <c r="C41" s="1472"/>
      <c r="D41" s="1569" t="s">
        <v>905</v>
      </c>
      <c r="E41" s="1486" t="s">
        <v>906</v>
      </c>
      <c r="F41" s="1503"/>
      <c r="G41" s="1488">
        <v>2</v>
      </c>
      <c r="H41" s="1487">
        <v>1</v>
      </c>
      <c r="I41" s="1487"/>
      <c r="J41" s="1487"/>
      <c r="K41" s="1487"/>
      <c r="L41" s="1487"/>
      <c r="M41" s="1489">
        <f>IF(M40&gt;=G41,H41,0)</f>
        <v>0</v>
      </c>
      <c r="N41" s="1535"/>
      <c r="O41" s="1477" t="s">
        <v>907</v>
      </c>
    </row>
    <row r="42" spans="1:15" ht="19.5" customHeight="1" thickBot="1">
      <c r="A42" s="1546"/>
      <c r="B42" s="1482"/>
      <c r="C42" s="1480"/>
      <c r="D42" s="1570"/>
      <c r="E42" s="1536"/>
      <c r="F42" s="1537"/>
      <c r="G42" s="1537"/>
      <c r="H42" s="1537"/>
      <c r="I42" s="1537"/>
      <c r="J42" s="1537"/>
      <c r="K42" s="1537"/>
      <c r="L42" s="1537"/>
      <c r="M42" s="1538">
        <f>SUM(M40:M41)+N40</f>
        <v>0</v>
      </c>
      <c r="N42" s="1539"/>
      <c r="O42" s="1477" t="s">
        <v>908</v>
      </c>
    </row>
    <row r="43" spans="1:15" ht="19.5" customHeight="1">
      <c r="A43" s="1543"/>
      <c r="B43" s="1527"/>
      <c r="C43" s="1540" t="s">
        <v>860</v>
      </c>
      <c r="D43" s="1485"/>
      <c r="E43" s="1528"/>
      <c r="F43" s="1529"/>
      <c r="G43" s="1529"/>
      <c r="H43" s="1529"/>
      <c r="I43" s="1529"/>
      <c r="J43" s="1529"/>
      <c r="K43" s="1529"/>
      <c r="L43" s="1529"/>
      <c r="M43" s="1530"/>
      <c r="N43" s="1541"/>
      <c r="O43" s="1434"/>
    </row>
    <row r="44" spans="1:15" ht="19.5" customHeight="1">
      <c r="A44" s="1546" t="s">
        <v>861</v>
      </c>
      <c r="B44" s="1474"/>
      <c r="C44" s="1472"/>
      <c r="D44" s="1473" t="s">
        <v>909</v>
      </c>
      <c r="E44" s="1486" t="s">
        <v>181</v>
      </c>
      <c r="F44" s="1503">
        <v>3</v>
      </c>
      <c r="G44" s="1503">
        <v>0</v>
      </c>
      <c r="H44" s="1487">
        <v>0.1</v>
      </c>
      <c r="I44" s="1487"/>
      <c r="J44" s="1487"/>
      <c r="K44" s="1487"/>
      <c r="L44" s="1487"/>
      <c r="M44" s="1487">
        <f>IF(ADPL&lt;=0,0,ADPL/F44*H44)</f>
        <v>0</v>
      </c>
      <c r="N44" s="1571"/>
      <c r="O44" s="416"/>
    </row>
    <row r="45" spans="1:15" ht="19.5" customHeight="1">
      <c r="A45" s="1546" t="s">
        <v>862</v>
      </c>
      <c r="B45" s="1474"/>
      <c r="C45" s="1472"/>
      <c r="D45" s="1473" t="s">
        <v>910</v>
      </c>
      <c r="E45" s="1551" t="s">
        <v>874</v>
      </c>
      <c r="F45" s="1494">
        <v>1000</v>
      </c>
      <c r="G45" s="1491">
        <v>0.4</v>
      </c>
      <c r="H45" s="1489">
        <v>0.5</v>
      </c>
      <c r="I45" s="1532"/>
      <c r="J45" s="1504"/>
      <c r="K45" s="1504"/>
      <c r="L45" s="1475"/>
      <c r="M45" s="1489">
        <f>IF(FAC_INFO_Social_Services&lt;F45,0,G45+H45* (FAC_INFO_Social_Services-F45)/F45)</f>
        <v>0</v>
      </c>
      <c r="N45" s="1535"/>
      <c r="O45" s="416"/>
    </row>
    <row r="46" spans="1:15" ht="19.5" customHeight="1" thickBot="1">
      <c r="A46" s="1546"/>
      <c r="B46" s="1479"/>
      <c r="C46" s="1500"/>
      <c r="D46" s="1481"/>
      <c r="E46" s="1536"/>
      <c r="F46" s="1537"/>
      <c r="G46" s="1537"/>
      <c r="H46" s="1537"/>
      <c r="I46" s="1537"/>
      <c r="J46" s="1537"/>
      <c r="K46" s="1537"/>
      <c r="L46" s="1537"/>
      <c r="M46" s="1538">
        <f>SUM(M44:M45)</f>
        <v>0</v>
      </c>
      <c r="N46" s="1539"/>
      <c r="O46" s="416"/>
    </row>
    <row r="47" spans="1:15" ht="19.5" customHeight="1">
      <c r="A47" s="1546"/>
      <c r="B47" s="1527"/>
      <c r="C47" s="1540" t="s">
        <v>863</v>
      </c>
      <c r="D47" s="1485"/>
      <c r="E47" s="1528"/>
      <c r="F47" s="1529"/>
      <c r="G47" s="1529"/>
      <c r="H47" s="1529"/>
      <c r="I47" s="1529"/>
      <c r="J47" s="1529"/>
      <c r="K47" s="1529"/>
      <c r="L47" s="1529"/>
      <c r="M47" s="1530"/>
      <c r="N47" s="1541"/>
      <c r="O47" s="416"/>
    </row>
    <row r="48" spans="1:15" ht="19.5" customHeight="1">
      <c r="A48" s="1546" t="s">
        <v>864</v>
      </c>
      <c r="B48" s="1474"/>
      <c r="C48" s="1472"/>
      <c r="D48" s="1473" t="s">
        <v>911</v>
      </c>
      <c r="E48" s="1486" t="s">
        <v>874</v>
      </c>
      <c r="F48" s="1503">
        <v>1000</v>
      </c>
      <c r="G48" s="1488">
        <v>0.7</v>
      </c>
      <c r="H48" s="1487">
        <v>0.3</v>
      </c>
      <c r="I48" s="1487" t="s">
        <v>181</v>
      </c>
      <c r="J48" s="1487">
        <v>3</v>
      </c>
      <c r="K48" s="1487"/>
      <c r="L48" s="1487">
        <v>0.1</v>
      </c>
      <c r="M48" s="1489">
        <f>IF(FAC_INFO_Mental_Health&lt;F48,0,G48+H48*(FAC_INFO_Mental_Health-F48)/ F48)+(ADPL/J48*L48)</f>
        <v>0</v>
      </c>
      <c r="N48" s="1571"/>
      <c r="O48" s="416"/>
    </row>
    <row r="49" spans="1:15" ht="19.5" customHeight="1">
      <c r="A49" s="1546" t="s">
        <v>865</v>
      </c>
      <c r="B49" s="1474"/>
      <c r="C49" s="1472"/>
      <c r="D49" s="1473" t="s">
        <v>912</v>
      </c>
      <c r="E49" s="1490" t="s">
        <v>874</v>
      </c>
      <c r="F49" s="1503">
        <v>1000</v>
      </c>
      <c r="G49" s="1488">
        <v>0.7</v>
      </c>
      <c r="H49" s="1487">
        <v>0.3</v>
      </c>
      <c r="I49" s="1475"/>
      <c r="J49" s="1475"/>
      <c r="K49" s="1475"/>
      <c r="L49" s="1475"/>
      <c r="M49" s="1489">
        <f>IF(FAC_INFO_Mental_Health&lt;F49,0,G49+H49*(FAC_INFO_Mental_Health-F49)/F49)</f>
        <v>0</v>
      </c>
      <c r="N49" s="1535"/>
      <c r="O49" s="1434"/>
    </row>
    <row r="50" spans="1:15" ht="19.5" customHeight="1" thickBot="1">
      <c r="A50" s="1546"/>
      <c r="B50" s="1479"/>
      <c r="C50" s="1500"/>
      <c r="D50" s="1481"/>
      <c r="E50" s="1536"/>
      <c r="F50" s="1537"/>
      <c r="G50" s="1537"/>
      <c r="H50" s="1537"/>
      <c r="I50" s="1537"/>
      <c r="J50" s="1537"/>
      <c r="K50" s="1537"/>
      <c r="L50" s="1537"/>
      <c r="M50" s="1538">
        <f>SUM(M48:M49)</f>
        <v>0</v>
      </c>
      <c r="N50" s="1539"/>
      <c r="O50" s="1434"/>
    </row>
    <row r="51" spans="1:15" ht="19.5" customHeight="1">
      <c r="A51" s="1543"/>
      <c r="B51" s="1527"/>
      <c r="C51" s="1540" t="s">
        <v>866</v>
      </c>
      <c r="D51" s="1485"/>
      <c r="E51" s="1528"/>
      <c r="F51" s="1529"/>
      <c r="G51" s="1529"/>
      <c r="H51" s="1529"/>
      <c r="I51" s="1529"/>
      <c r="J51" s="1529"/>
      <c r="K51" s="1529"/>
      <c r="L51" s="1529"/>
      <c r="M51" s="1530"/>
      <c r="N51" s="1541"/>
      <c r="O51" s="1434"/>
    </row>
    <row r="52" spans="1:15" ht="19.5" customHeight="1">
      <c r="A52" s="1543" t="s">
        <v>867</v>
      </c>
      <c r="B52" s="1572"/>
      <c r="C52" s="1511"/>
      <c r="D52" s="1573" t="s">
        <v>915</v>
      </c>
      <c r="E52" s="1551" t="s">
        <v>874</v>
      </c>
      <c r="F52" s="1494">
        <v>1000</v>
      </c>
      <c r="G52" s="1491">
        <v>0.5</v>
      </c>
      <c r="H52" s="1489">
        <v>0.3</v>
      </c>
      <c r="I52" s="1532"/>
      <c r="J52" s="1504"/>
      <c r="K52" s="1504"/>
      <c r="L52" s="1475"/>
      <c r="M52" s="1489">
        <f>IF(FAC_INFO_Mental_Health&lt;F52,0,G52+H52*(FAC_INFO_Mental_Health-F52)/F52)</f>
        <v>0</v>
      </c>
      <c r="N52" s="1562"/>
      <c r="O52" s="1434"/>
    </row>
    <row r="53" spans="1:15" ht="19.5" customHeight="1">
      <c r="A53" s="1543" t="s">
        <v>868</v>
      </c>
      <c r="B53" s="1572"/>
      <c r="C53" s="1511"/>
      <c r="D53" s="1573" t="s">
        <v>916</v>
      </c>
      <c r="E53" s="1551" t="s">
        <v>874</v>
      </c>
      <c r="F53" s="1494">
        <v>1000</v>
      </c>
      <c r="G53" s="1491">
        <v>0.2</v>
      </c>
      <c r="H53" s="1489">
        <v>0.1</v>
      </c>
      <c r="I53" s="1532"/>
      <c r="J53" s="1504"/>
      <c r="K53" s="1504"/>
      <c r="L53" s="1475"/>
      <c r="M53" s="1489">
        <f>IF(FAC_INFO_Mental_Health&lt;F53,0,G53+H53*(FAC_INFO_Mental_Health-F53)/F53)</f>
        <v>0</v>
      </c>
      <c r="N53" s="1562"/>
      <c r="O53" s="1434"/>
    </row>
    <row r="54" spans="1:15" ht="19.5" customHeight="1">
      <c r="A54" s="1543" t="s">
        <v>869</v>
      </c>
      <c r="B54" s="1548"/>
      <c r="C54" s="1549"/>
      <c r="D54" s="1550" t="s">
        <v>917</v>
      </c>
      <c r="E54" s="1551" t="s">
        <v>874</v>
      </c>
      <c r="F54" s="1494">
        <v>1000</v>
      </c>
      <c r="G54" s="1491"/>
      <c r="H54" s="1489">
        <v>0.2</v>
      </c>
      <c r="I54" s="1532"/>
      <c r="J54" s="1504"/>
      <c r="K54" s="1504"/>
      <c r="L54" s="1475"/>
      <c r="M54" s="1489">
        <f>IF(FAC_INFO_Mental_Health&lt;F54,0,FAC_INFO_Mental_Health/F54*H54)</f>
        <v>0</v>
      </c>
      <c r="N54" s="1562"/>
      <c r="O54" s="1434"/>
    </row>
    <row r="55" spans="1:15" ht="19.5" customHeight="1" thickBot="1">
      <c r="A55" s="1546"/>
      <c r="B55" s="1482"/>
      <c r="C55" s="1480"/>
      <c r="D55" s="1560"/>
      <c r="E55" s="1536"/>
      <c r="F55" s="1537"/>
      <c r="G55" s="1537"/>
      <c r="H55" s="1537"/>
      <c r="I55" s="1537"/>
      <c r="J55" s="1537"/>
      <c r="K55" s="1537"/>
      <c r="L55" s="1537"/>
      <c r="M55" s="1538">
        <f>SUM(M52:M54)</f>
        <v>0</v>
      </c>
      <c r="N55" s="1539"/>
      <c r="O55" s="416"/>
    </row>
    <row r="56" spans="1:15" ht="19.5" customHeight="1">
      <c r="A56" s="1546"/>
      <c r="B56" s="1495" t="s">
        <v>846</v>
      </c>
      <c r="C56" s="1574"/>
      <c r="D56" s="1439"/>
      <c r="E56" s="1575"/>
      <c r="F56" s="1529"/>
      <c r="G56" s="1529"/>
      <c r="H56" s="1529"/>
      <c r="I56" s="1529"/>
      <c r="J56" s="1529"/>
      <c r="K56" s="1529"/>
      <c r="L56" s="1529"/>
      <c r="M56" s="1529"/>
      <c r="N56" s="1576"/>
      <c r="O56" s="416"/>
    </row>
    <row r="57" spans="1:15" ht="19.5" customHeight="1">
      <c r="A57" s="1543" t="s">
        <v>847</v>
      </c>
      <c r="B57" s="1474"/>
      <c r="C57" s="1511"/>
      <c r="D57" s="1573" t="s">
        <v>918</v>
      </c>
      <c r="E57" s="1551" t="s">
        <v>919</v>
      </c>
      <c r="F57" s="1491"/>
      <c r="G57" s="1491"/>
      <c r="H57" s="1491"/>
      <c r="I57" s="1532"/>
      <c r="J57" s="1476"/>
      <c r="K57" s="1476"/>
      <c r="L57" s="1476"/>
      <c r="M57" s="1489">
        <f>OEHE</f>
        <v>0</v>
      </c>
      <c r="N57" s="1562"/>
      <c r="O57" s="1434"/>
    </row>
    <row r="58" spans="1:15" ht="19.5" customHeight="1">
      <c r="A58" s="1543" t="s">
        <v>848</v>
      </c>
      <c r="B58" s="1474"/>
      <c r="C58" s="1511"/>
      <c r="D58" s="1577" t="s">
        <v>920</v>
      </c>
      <c r="E58" s="1551"/>
      <c r="F58" s="1491"/>
      <c r="G58" s="1491"/>
      <c r="H58" s="1491"/>
      <c r="I58" s="1532"/>
      <c r="J58" s="1476"/>
      <c r="K58" s="1476"/>
      <c r="L58" s="1476"/>
      <c r="M58" s="1489">
        <f>0</f>
        <v>0</v>
      </c>
      <c r="N58" s="1562"/>
      <c r="O58" s="1434"/>
    </row>
    <row r="59" spans="1:15" ht="19.5" customHeight="1">
      <c r="A59" s="1543" t="s">
        <v>849</v>
      </c>
      <c r="B59" s="1474"/>
      <c r="C59" s="1511"/>
      <c r="D59" s="1484" t="s">
        <v>921</v>
      </c>
      <c r="E59" s="1551"/>
      <c r="F59" s="1491"/>
      <c r="G59" s="1491"/>
      <c r="H59" s="1491"/>
      <c r="I59" s="1532"/>
      <c r="J59" s="1476"/>
      <c r="K59" s="1476"/>
      <c r="L59" s="1476"/>
      <c r="M59" s="1489">
        <f>0</f>
        <v>0</v>
      </c>
      <c r="N59" s="1578"/>
      <c r="O59" s="416"/>
    </row>
    <row r="60" spans="1:15" ht="19.5" customHeight="1">
      <c r="A60" s="1543" t="s">
        <v>850</v>
      </c>
      <c r="B60" s="1474"/>
      <c r="C60" s="1511"/>
      <c r="D60" s="1577" t="s">
        <v>922</v>
      </c>
      <c r="E60" s="1551"/>
      <c r="F60" s="1491"/>
      <c r="G60" s="1491"/>
      <c r="H60" s="1491"/>
      <c r="I60" s="1532"/>
      <c r="J60" s="1476"/>
      <c r="K60" s="1476"/>
      <c r="L60" s="1476"/>
      <c r="M60" s="1489">
        <f>0</f>
        <v>0</v>
      </c>
      <c r="N60" s="1562"/>
      <c r="O60" s="1579"/>
    </row>
    <row r="61" spans="1:15" ht="19.5" customHeight="1">
      <c r="A61" s="1543" t="s">
        <v>851</v>
      </c>
      <c r="B61" s="1474"/>
      <c r="C61" s="1511"/>
      <c r="D61" s="1577" t="s">
        <v>923</v>
      </c>
      <c r="E61" s="1551"/>
      <c r="F61" s="1491"/>
      <c r="G61" s="1491"/>
      <c r="H61" s="1491"/>
      <c r="I61" s="1532"/>
      <c r="J61" s="1476"/>
      <c r="K61" s="1476"/>
      <c r="L61" s="1476"/>
      <c r="M61" s="1489">
        <f>0</f>
        <v>0</v>
      </c>
      <c r="N61" s="1562"/>
      <c r="O61" s="1434"/>
    </row>
    <row r="62" spans="1:15" ht="19.5" customHeight="1">
      <c r="A62" s="1543" t="s">
        <v>849</v>
      </c>
      <c r="B62" s="1474"/>
      <c r="C62" s="1511"/>
      <c r="D62" s="1577" t="s">
        <v>924</v>
      </c>
      <c r="E62" s="1551"/>
      <c r="F62" s="1491"/>
      <c r="G62" s="1491"/>
      <c r="H62" s="1491"/>
      <c r="I62" s="1532"/>
      <c r="J62" s="1476"/>
      <c r="K62" s="1476"/>
      <c r="L62" s="1476"/>
      <c r="M62" s="1489">
        <f>0</f>
        <v>0</v>
      </c>
      <c r="N62" s="1562"/>
      <c r="O62" s="371"/>
    </row>
    <row r="63" spans="1:15" ht="19.5" customHeight="1">
      <c r="A63" s="1546" t="s">
        <v>852</v>
      </c>
      <c r="B63" s="1474"/>
      <c r="C63" s="1511"/>
      <c r="D63" s="1577" t="s">
        <v>925</v>
      </c>
      <c r="E63" s="1551"/>
      <c r="F63" s="1491"/>
      <c r="G63" s="1491"/>
      <c r="H63" s="1491"/>
      <c r="I63" s="1532"/>
      <c r="J63" s="1476"/>
      <c r="K63" s="1476"/>
      <c r="L63" s="1476"/>
      <c r="M63" s="1489">
        <f>0</f>
        <v>0</v>
      </c>
      <c r="N63" s="1562"/>
      <c r="O63" s="371"/>
    </row>
    <row r="64" spans="1:15" ht="19.5" customHeight="1" thickBot="1">
      <c r="A64" s="1546"/>
      <c r="B64" s="1483"/>
      <c r="C64" s="1505"/>
      <c r="D64" s="1560"/>
      <c r="E64" s="1536"/>
      <c r="F64" s="1537"/>
      <c r="G64" s="1537"/>
      <c r="H64" s="1537"/>
      <c r="I64" s="1537"/>
      <c r="J64" s="1537"/>
      <c r="K64" s="1537"/>
      <c r="L64" s="1537"/>
      <c r="M64" s="1538">
        <f>SUM(M57:M63)</f>
        <v>0</v>
      </c>
      <c r="N64" s="1580"/>
      <c r="O64" s="371"/>
    </row>
    <row r="65" spans="1:15" ht="19.5" customHeight="1">
      <c r="A65" s="1543"/>
      <c r="B65" s="1495" t="s">
        <v>853</v>
      </c>
      <c r="C65" s="1574"/>
      <c r="D65" s="1439"/>
      <c r="E65" s="1528"/>
      <c r="F65" s="1529"/>
      <c r="G65" s="1529"/>
      <c r="H65" s="1529"/>
      <c r="I65" s="1529"/>
      <c r="J65" s="1529"/>
      <c r="K65" s="1529"/>
      <c r="L65" s="1529"/>
      <c r="M65" s="1530"/>
      <c r="N65" s="1541"/>
      <c r="O65" s="371"/>
    </row>
    <row r="66" spans="1:15" ht="19.5" customHeight="1">
      <c r="A66" s="1543" t="s">
        <v>933</v>
      </c>
      <c r="B66" s="1572"/>
      <c r="C66" s="1511"/>
      <c r="D66" s="1573" t="s">
        <v>926</v>
      </c>
      <c r="E66" s="1551" t="s">
        <v>874</v>
      </c>
      <c r="F66" s="1491">
        <v>1320</v>
      </c>
      <c r="G66" s="1491">
        <v>1</v>
      </c>
      <c r="H66" s="1491"/>
      <c r="I66" s="1532"/>
      <c r="J66" s="1476"/>
      <c r="K66" s="1476"/>
      <c r="L66" s="1476"/>
      <c r="M66" s="1489">
        <f>IF(OR(AmbUPOP&lt;=F66,Wellness_Hours=1),0,G66)</f>
        <v>0</v>
      </c>
      <c r="N66" s="1562"/>
      <c r="O66" s="371"/>
    </row>
    <row r="67" spans="1:15" ht="19.5" customHeight="1">
      <c r="A67" s="1543" t="s">
        <v>854</v>
      </c>
      <c r="B67" s="1572"/>
      <c r="C67" s="1511"/>
      <c r="D67" s="1577" t="s">
        <v>927</v>
      </c>
      <c r="E67" s="1551" t="s">
        <v>874</v>
      </c>
      <c r="F67" s="1491">
        <v>2000</v>
      </c>
      <c r="G67" s="1491">
        <v>3000</v>
      </c>
      <c r="H67" s="1491">
        <v>4000</v>
      </c>
      <c r="I67" s="1532">
        <v>5000</v>
      </c>
      <c r="J67" s="1476">
        <v>1.1000000000000001</v>
      </c>
      <c r="K67" s="1476">
        <v>0.27</v>
      </c>
      <c r="L67" s="1476">
        <v>40</v>
      </c>
      <c r="M67" s="1489">
        <f>IF(Wellness_Hours=1,0,IF(FAC_INFO_Health_Education&lt;6000,1.1*FAC_INFO_Health_Education/F67,IF(FAC_INFO_Health_Education&lt;12000,1.1*(FAC_INFO_Health_Education-6000)/G67+3.3,IF(FAC_INFO_Health_Education&lt;20000,1.1*(FAC_INFO_Health_Education-12000)/H67+5.5,IF(FAC_INFO_Health_Education&lt;35000,1.1*(FAC_INFO_Health_Education-20000)/I67+7.7,11))))+(K67*(Wellness_Hours-2)))</f>
        <v>0</v>
      </c>
      <c r="N67" s="1562"/>
      <c r="O67" s="416"/>
    </row>
    <row r="68" spans="1:15" ht="19.5" customHeight="1">
      <c r="A68" s="1543" t="s">
        <v>855</v>
      </c>
      <c r="B68" s="1572"/>
      <c r="C68" s="1511"/>
      <c r="D68" s="1577" t="s">
        <v>485</v>
      </c>
      <c r="E68" s="1551" t="s">
        <v>874</v>
      </c>
      <c r="F68" s="1491">
        <v>4000</v>
      </c>
      <c r="G68" s="1491"/>
      <c r="H68" s="1491">
        <v>1.1000000000000001</v>
      </c>
      <c r="I68" s="1532"/>
      <c r="J68" s="1476"/>
      <c r="K68" s="1476">
        <v>0.27</v>
      </c>
      <c r="L68" s="1476">
        <v>40</v>
      </c>
      <c r="M68" s="1489">
        <f>IF(Wellness_Hours=1,0,IF(FAC_INFO_Health_Education&gt;F68,H68,0)+(K67*(Wellness_Hours-2)))</f>
        <v>0</v>
      </c>
      <c r="N68" s="1562"/>
      <c r="O68" s="416"/>
    </row>
    <row r="69" spans="1:15" ht="19.5" customHeight="1">
      <c r="A69" s="1543" t="s">
        <v>856</v>
      </c>
      <c r="B69" s="1572"/>
      <c r="C69" s="1511"/>
      <c r="D69" s="1577" t="s">
        <v>928</v>
      </c>
      <c r="E69" s="1551" t="s">
        <v>874</v>
      </c>
      <c r="F69" s="1491">
        <v>10000</v>
      </c>
      <c r="G69" s="1491">
        <v>1</v>
      </c>
      <c r="H69" s="1491"/>
      <c r="I69" s="1532"/>
      <c r="J69" s="1476"/>
      <c r="K69" s="1476"/>
      <c r="L69" s="1476"/>
      <c r="M69" s="1489">
        <f>IF(Wellness_Hours=1,0,IF(AmbUPOP&lt;=F69,0,G69))</f>
        <v>0</v>
      </c>
      <c r="N69" s="1562"/>
      <c r="O69" s="416"/>
    </row>
    <row r="70" spans="1:15" ht="19.5" customHeight="1">
      <c r="A70" s="1543" t="s">
        <v>857</v>
      </c>
      <c r="B70" s="1572"/>
      <c r="C70" s="1511"/>
      <c r="D70" s="1577" t="s">
        <v>929</v>
      </c>
      <c r="E70" s="1551" t="s">
        <v>874</v>
      </c>
      <c r="F70" s="1491">
        <v>6000</v>
      </c>
      <c r="G70" s="1491">
        <v>1</v>
      </c>
      <c r="H70" s="1491"/>
      <c r="I70" s="1532"/>
      <c r="J70" s="1476"/>
      <c r="K70" s="1476"/>
      <c r="L70" s="1476"/>
      <c r="M70" s="1489">
        <f>IF(Wellness_Hours=1,0,IF(AmbUPOP&lt;=F70,0,G70))</f>
        <v>0</v>
      </c>
      <c r="N70" s="1562"/>
      <c r="O70" s="416"/>
    </row>
    <row r="71" spans="1:15" ht="19.5" customHeight="1" thickBot="1">
      <c r="A71" s="1546"/>
      <c r="B71" s="1482"/>
      <c r="C71" s="1480"/>
      <c r="D71" s="1560"/>
      <c r="E71" s="1536"/>
      <c r="F71" s="1537"/>
      <c r="G71" s="1537"/>
      <c r="H71" s="1537"/>
      <c r="I71" s="1537"/>
      <c r="J71" s="1537"/>
      <c r="K71" s="1537"/>
      <c r="L71" s="1537"/>
      <c r="M71" s="1538">
        <f>SUM(M66:M70)</f>
        <v>0</v>
      </c>
      <c r="N71" s="1580"/>
      <c r="O71" s="1434"/>
    </row>
    <row r="72" spans="1:15" ht="19.5" customHeight="1">
      <c r="A72" s="1546"/>
      <c r="B72" s="1502" t="s">
        <v>870</v>
      </c>
      <c r="C72" s="1468"/>
      <c r="D72" s="1581"/>
      <c r="E72" s="1566"/>
      <c r="F72" s="1567"/>
      <c r="G72" s="1567"/>
      <c r="H72" s="1567"/>
      <c r="I72" s="1567"/>
      <c r="J72" s="1567"/>
      <c r="K72" s="1567"/>
      <c r="L72" s="1567"/>
      <c r="M72" s="1568"/>
      <c r="N72" s="1582"/>
      <c r="O72" s="371"/>
    </row>
    <row r="73" spans="1:15" ht="19.5" customHeight="1">
      <c r="A73" s="1546"/>
      <c r="B73" s="1496"/>
      <c r="C73" s="1478"/>
      <c r="D73" s="1497" t="s">
        <v>930</v>
      </c>
      <c r="E73" s="1583"/>
      <c r="F73" s="1584"/>
      <c r="G73" s="1584"/>
      <c r="H73" s="1585"/>
      <c r="I73" s="1585"/>
      <c r="J73" s="1585"/>
      <c r="K73" s="1585"/>
      <c r="L73" s="1585"/>
      <c r="M73" s="1498">
        <v>0</v>
      </c>
      <c r="N73" s="1586"/>
      <c r="O73" s="371"/>
    </row>
    <row r="74" spans="1:15" ht="19.5" customHeight="1">
      <c r="A74" s="1546"/>
      <c r="B74" s="1471"/>
      <c r="C74" s="1476"/>
      <c r="D74" s="1497" t="s">
        <v>931</v>
      </c>
      <c r="E74" s="1587"/>
      <c r="F74" s="1588"/>
      <c r="G74" s="1588"/>
      <c r="H74" s="1589"/>
      <c r="I74" s="1589"/>
      <c r="J74" s="1589"/>
      <c r="K74" s="1589"/>
      <c r="L74" s="1589"/>
      <c r="M74" s="1499">
        <v>0</v>
      </c>
      <c r="N74" s="1535"/>
      <c r="O74" s="371"/>
    </row>
    <row r="75" spans="1:15" ht="19.5" customHeight="1">
      <c r="A75" s="1546"/>
      <c r="B75" s="1471"/>
      <c r="C75" s="1478"/>
      <c r="D75" s="1497" t="s">
        <v>932</v>
      </c>
      <c r="E75" s="1587"/>
      <c r="F75" s="1588"/>
      <c r="G75" s="1588"/>
      <c r="H75" s="1589"/>
      <c r="I75" s="1589"/>
      <c r="J75" s="1589"/>
      <c r="K75" s="1589"/>
      <c r="L75" s="1589"/>
      <c r="M75" s="1499">
        <v>0</v>
      </c>
      <c r="N75" s="1535"/>
      <c r="O75" s="416"/>
    </row>
    <row r="76" spans="1:15" ht="19.5" customHeight="1">
      <c r="A76" s="1546"/>
      <c r="B76" s="1471"/>
      <c r="C76" s="1478"/>
      <c r="D76" s="1497" t="s">
        <v>934</v>
      </c>
      <c r="E76" s="1587"/>
      <c r="F76" s="1588"/>
      <c r="G76" s="1588"/>
      <c r="H76" s="1589"/>
      <c r="I76" s="1589"/>
      <c r="J76" s="1589"/>
      <c r="K76" s="1589"/>
      <c r="L76" s="1589"/>
      <c r="M76" s="1499">
        <v>0</v>
      </c>
      <c r="N76" s="1535"/>
      <c r="O76" s="416"/>
    </row>
    <row r="77" spans="1:15" ht="19.5" customHeight="1">
      <c r="A77" s="1546"/>
      <c r="B77" s="1471"/>
      <c r="C77" s="1478"/>
      <c r="D77" s="1497" t="s">
        <v>935</v>
      </c>
      <c r="E77" s="1587"/>
      <c r="F77" s="1588"/>
      <c r="G77" s="1588"/>
      <c r="H77" s="1589"/>
      <c r="I77" s="1589"/>
      <c r="J77" s="1589"/>
      <c r="K77" s="1589"/>
      <c r="L77" s="1589"/>
      <c r="M77" s="1499">
        <v>0</v>
      </c>
      <c r="N77" s="1535"/>
      <c r="O77" s="416"/>
    </row>
    <row r="78" spans="1:15" ht="19.5" customHeight="1">
      <c r="A78" s="1546"/>
      <c r="B78" s="1471"/>
      <c r="C78" s="1476"/>
      <c r="D78" s="1497" t="s">
        <v>936</v>
      </c>
      <c r="E78" s="1587"/>
      <c r="F78" s="1588"/>
      <c r="G78" s="1588"/>
      <c r="H78" s="1589"/>
      <c r="I78" s="1589"/>
      <c r="J78" s="1589"/>
      <c r="K78" s="1589"/>
      <c r="L78" s="1589"/>
      <c r="M78" s="1499">
        <v>0</v>
      </c>
      <c r="N78" s="1535"/>
      <c r="O78" s="1434"/>
    </row>
    <row r="79" spans="1:15" ht="19.5" customHeight="1">
      <c r="A79" s="1546"/>
      <c r="B79" s="1471"/>
      <c r="C79" s="1478"/>
      <c r="D79" s="1497" t="s">
        <v>937</v>
      </c>
      <c r="E79" s="1587"/>
      <c r="F79" s="1588"/>
      <c r="G79" s="1588"/>
      <c r="H79" s="1589"/>
      <c r="I79" s="1589"/>
      <c r="J79" s="1589"/>
      <c r="K79" s="1589"/>
      <c r="L79" s="1589"/>
      <c r="M79" s="1499">
        <v>0</v>
      </c>
      <c r="N79" s="1535"/>
      <c r="O79" s="371"/>
    </row>
    <row r="80" spans="1:15" ht="19.5" customHeight="1">
      <c r="A80" s="1546"/>
      <c r="B80" s="1471"/>
      <c r="C80" s="1478"/>
      <c r="D80" s="1497" t="s">
        <v>938</v>
      </c>
      <c r="E80" s="1587"/>
      <c r="F80" s="1588"/>
      <c r="G80" s="1588"/>
      <c r="H80" s="1589"/>
      <c r="I80" s="1589"/>
      <c r="J80" s="1589"/>
      <c r="K80" s="1589"/>
      <c r="L80" s="1589"/>
      <c r="M80" s="1499">
        <v>0</v>
      </c>
      <c r="N80" s="1535"/>
      <c r="O80" s="371"/>
    </row>
    <row r="81" spans="1:15" ht="19.5" customHeight="1">
      <c r="A81" s="1546"/>
      <c r="B81" s="1471"/>
      <c r="C81" s="1478"/>
      <c r="D81" s="1497" t="s">
        <v>939</v>
      </c>
      <c r="E81" s="1587"/>
      <c r="F81" s="1588"/>
      <c r="G81" s="1588"/>
      <c r="H81" s="1589"/>
      <c r="I81" s="1589"/>
      <c r="J81" s="1589"/>
      <c r="K81" s="1589"/>
      <c r="L81" s="1589"/>
      <c r="M81" s="1499">
        <v>0</v>
      </c>
      <c r="N81" s="1535"/>
      <c r="O81" s="371"/>
    </row>
    <row r="82" spans="1:15" ht="19.5" customHeight="1">
      <c r="A82" s="1546"/>
      <c r="B82" s="1471"/>
      <c r="C82" s="1476"/>
      <c r="D82" s="1497" t="s">
        <v>940</v>
      </c>
      <c r="E82" s="1587"/>
      <c r="F82" s="1588"/>
      <c r="G82" s="1588"/>
      <c r="H82" s="1589"/>
      <c r="I82" s="1589"/>
      <c r="J82" s="1589"/>
      <c r="K82" s="1589"/>
      <c r="L82" s="1589"/>
      <c r="M82" s="1499">
        <v>0</v>
      </c>
      <c r="N82" s="1535"/>
      <c r="O82" s="371"/>
    </row>
    <row r="83" spans="1:15" ht="19.5" customHeight="1">
      <c r="A83" s="1546"/>
      <c r="B83" s="1471"/>
      <c r="C83" s="1478"/>
      <c r="D83" s="1497" t="s">
        <v>941</v>
      </c>
      <c r="E83" s="1587"/>
      <c r="F83" s="1588"/>
      <c r="G83" s="1588"/>
      <c r="H83" s="1589"/>
      <c r="I83" s="1589"/>
      <c r="J83" s="1589"/>
      <c r="K83" s="1589"/>
      <c r="L83" s="1589"/>
      <c r="M83" s="1499">
        <v>0</v>
      </c>
      <c r="N83" s="1535"/>
      <c r="O83" s="371"/>
    </row>
    <row r="84" spans="1:15" ht="19.5" customHeight="1">
      <c r="A84" s="1546"/>
      <c r="B84" s="1471"/>
      <c r="C84" s="1478"/>
      <c r="D84" s="1497" t="s">
        <v>942</v>
      </c>
      <c r="E84" s="1590"/>
      <c r="F84" s="1591"/>
      <c r="G84" s="1591"/>
      <c r="H84" s="1592"/>
      <c r="I84" s="1592"/>
      <c r="J84" s="1592"/>
      <c r="K84" s="1592"/>
      <c r="L84" s="1592"/>
      <c r="M84" s="1593">
        <v>0</v>
      </c>
      <c r="N84" s="1594"/>
      <c r="O84" s="371"/>
    </row>
    <row r="85" spans="1:15" ht="19.5" customHeight="1" thickBot="1">
      <c r="A85" s="1546"/>
      <c r="B85" s="1479"/>
      <c r="C85" s="1500"/>
      <c r="D85" s="1481"/>
      <c r="E85" s="1536"/>
      <c r="F85" s="1537"/>
      <c r="G85" s="1537"/>
      <c r="H85" s="1537"/>
      <c r="I85" s="1537"/>
      <c r="J85" s="1537"/>
      <c r="K85" s="1537"/>
      <c r="L85" s="1537"/>
      <c r="M85" s="1538">
        <f>SUM(M73:M84)</f>
        <v>0</v>
      </c>
      <c r="N85" s="1580"/>
      <c r="O85" s="371"/>
    </row>
    <row r="86" spans="1:15" ht="19.5" customHeight="1">
      <c r="A86" s="1546"/>
      <c r="B86" s="1437"/>
      <c r="C86" s="1574"/>
      <c r="D86" s="1439"/>
      <c r="E86" s="1595"/>
      <c r="F86" s="1529"/>
      <c r="G86" s="1529"/>
      <c r="H86" s="1529"/>
      <c r="I86" s="1529"/>
      <c r="J86" s="1529"/>
      <c r="K86" s="1529"/>
      <c r="L86" s="1529"/>
      <c r="M86" s="1529"/>
      <c r="N86" s="1596"/>
      <c r="O86" s="371"/>
    </row>
    <row r="87" spans="1:15" ht="19.5" customHeight="1">
      <c r="A87" s="1546"/>
      <c r="B87" s="1471"/>
      <c r="C87" s="1478"/>
      <c r="D87" s="1478"/>
      <c r="E87" s="1597"/>
      <c r="F87" s="1510"/>
      <c r="G87" s="1510"/>
      <c r="H87" s="1510"/>
      <c r="I87" s="1510"/>
      <c r="J87" s="1510"/>
      <c r="K87" s="1510"/>
      <c r="L87" s="1510"/>
      <c r="M87" s="1487"/>
      <c r="N87" s="1512"/>
      <c r="O87" s="1434"/>
    </row>
    <row r="88" spans="1:15" ht="19.5" customHeight="1" thickBot="1">
      <c r="A88" s="371"/>
      <c r="B88" s="1479"/>
      <c r="C88" s="1500"/>
      <c r="D88" s="1500"/>
      <c r="E88" s="1598"/>
      <c r="F88" s="1599"/>
      <c r="G88" s="1599"/>
      <c r="H88" s="1600" t="s">
        <v>943</v>
      </c>
      <c r="I88" s="1599"/>
      <c r="J88" s="1599"/>
      <c r="K88" s="1599"/>
      <c r="L88" s="1599"/>
      <c r="M88" s="1601">
        <f>M16+M25+M33+M42+M46+M50+M55+M57+M71+M85</f>
        <v>0</v>
      </c>
      <c r="N88" s="1602"/>
      <c r="O88" s="371"/>
    </row>
    <row r="89" spans="1:15" ht="19.5" customHeight="1">
      <c r="A89" s="371"/>
      <c r="O89" s="371"/>
    </row>
    <row r="90" spans="1:15" ht="19.5" customHeight="1">
      <c r="A90" s="371"/>
      <c r="B90" s="1953"/>
      <c r="C90" s="1953"/>
      <c r="D90" s="1953"/>
      <c r="E90" s="1953"/>
      <c r="F90" s="1953"/>
      <c r="G90" s="1953"/>
      <c r="H90" s="1953"/>
      <c r="I90" s="1953"/>
      <c r="J90" s="1953"/>
      <c r="K90" s="1953"/>
      <c r="L90" s="1953"/>
      <c r="M90" s="1953"/>
      <c r="N90" s="1953"/>
      <c r="O90" s="371"/>
    </row>
    <row r="91" spans="1:15" ht="19.5" customHeight="1">
      <c r="A91" s="371"/>
      <c r="B91" s="1953"/>
      <c r="C91" s="1953"/>
      <c r="D91" s="1953"/>
      <c r="E91" s="1953"/>
      <c r="F91" s="1953"/>
      <c r="G91" s="1953"/>
      <c r="H91" s="1953"/>
      <c r="I91" s="1953"/>
      <c r="J91" s="1953"/>
      <c r="K91" s="1953"/>
      <c r="L91" s="1953"/>
      <c r="M91" s="1953"/>
      <c r="N91" s="1953"/>
      <c r="O91" s="371"/>
    </row>
    <row r="92" spans="1:15" ht="19.5" customHeight="1">
      <c r="A92" s="371"/>
      <c r="B92" s="1953"/>
      <c r="C92" s="1953"/>
      <c r="D92" s="1953"/>
      <c r="E92" s="1953"/>
      <c r="F92" s="1953"/>
      <c r="G92" s="1953"/>
      <c r="H92" s="1953"/>
      <c r="I92" s="1953"/>
      <c r="J92" s="1953"/>
      <c r="K92" s="1953"/>
      <c r="L92" s="1953"/>
      <c r="M92" s="1953"/>
      <c r="N92" s="1953"/>
      <c r="O92" s="371"/>
    </row>
    <row r="93" spans="1:15" ht="19.5" hidden="1" customHeight="1">
      <c r="O93" s="371"/>
    </row>
    <row r="94" spans="1:15" ht="19.5" hidden="1" customHeight="1">
      <c r="O94" s="371"/>
    </row>
    <row r="95" spans="1:15" ht="19.5" hidden="1" customHeight="1">
      <c r="O95" s="371"/>
    </row>
    <row r="96" spans="1:15" ht="19.5" hidden="1" customHeight="1">
      <c r="O96" s="371"/>
    </row>
    <row r="97" spans="15:15" ht="19.5" hidden="1" customHeight="1">
      <c r="O97" s="371"/>
    </row>
    <row r="98" spans="15:15" ht="19.5" hidden="1" customHeight="1">
      <c r="O98" s="371"/>
    </row>
    <row r="99" spans="15:15" ht="19.5" hidden="1" customHeight="1">
      <c r="O99" s="371"/>
    </row>
    <row r="100" spans="15:15" ht="19.5" hidden="1" customHeight="1"/>
    <row r="101" spans="15:15" ht="19.5" hidden="1" customHeight="1"/>
    <row r="102" spans="15:15" ht="19.5" hidden="1" customHeight="1"/>
    <row r="103" spans="15:15" ht="19.5" customHeight="1"/>
  </sheetData>
  <sheetProtection algorithmName="SHA-512" hashValue="XWHaMjpnclTDJysvPOmpvVFRxd1CS41phMj06I+t+gRM/G5L4WWi7KMRc0l0R8D0WTRSbkJT9GHpWIPEL3e/Jw==" saltValue="sK4cbpZ6H0ctfBNPweyjjA==" spinCount="100000" sheet="1" objects="1" scenarios="1"/>
  <mergeCells count="3">
    <mergeCell ref="E1:J1"/>
    <mergeCell ref="E3:J3"/>
    <mergeCell ref="B90:N9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autoPageBreaks="0" fitToPage="1"/>
  </sheetPr>
  <dimension ref="A1:BY190"/>
  <sheetViews>
    <sheetView topLeftCell="B1" zoomScale="70" zoomScaleNormal="70" workbookViewId="0">
      <selection activeCell="M22" sqref="M22"/>
    </sheetView>
  </sheetViews>
  <sheetFormatPr defaultColWidth="0" defaultRowHeight="20.25"/>
  <cols>
    <col min="1" max="1" width="6.25" style="1043" hidden="1" customWidth="1" collapsed="1"/>
    <col min="2" max="2" width="3.75" style="378" customWidth="1" collapsed="1"/>
    <col min="3" max="3" width="10" style="379" customWidth="1" collapsed="1"/>
    <col min="4" max="4" width="47.5" style="379" customWidth="1" collapsed="1"/>
    <col min="5" max="5" width="22.5" style="379" customWidth="1" collapsed="1"/>
    <col min="6" max="7" width="15" style="380" customWidth="1" collapsed="1"/>
    <col min="8" max="8" width="15" style="381" customWidth="1" collapsed="1"/>
    <col min="9" max="9" width="22.5" style="381" customWidth="1" collapsed="1"/>
    <col min="10" max="12" width="15" style="381" customWidth="1" collapsed="1"/>
    <col min="13" max="13" width="15" style="382" customWidth="1" collapsed="1"/>
    <col min="14" max="14" width="8.875" style="379" customWidth="1" collapsed="1"/>
    <col min="15" max="15" width="14" style="379" hidden="1" customWidth="1" collapsed="1"/>
    <col min="16" max="16" width="41.5" style="999" hidden="1" customWidth="1" collapsed="1"/>
    <col min="17" max="17" width="14" style="1018" hidden="1" customWidth="1" collapsed="1"/>
    <col min="18" max="18" width="14" style="384" hidden="1" customWidth="1" collapsed="1"/>
    <col min="19" max="20" width="14" style="385" hidden="1" customWidth="1" collapsed="1"/>
    <col min="21" max="21" width="17.125" style="385" hidden="1" customWidth="1" collapsed="1"/>
    <col min="22" max="22" width="14.625" style="384" hidden="1" customWidth="1" collapsed="1"/>
    <col min="23" max="77" width="0" style="379" hidden="1" customWidth="1" collapsed="1"/>
    <col min="78" max="16384" width="14" style="379" hidden="1" collapsed="1"/>
  </cols>
  <sheetData>
    <row r="1" spans="1:22" s="168" customFormat="1" ht="19.5" customHeight="1">
      <c r="A1" s="466"/>
      <c r="B1" s="1417" t="s">
        <v>248</v>
      </c>
      <c r="C1" s="371"/>
      <c r="D1" s="1416"/>
      <c r="E1" s="1940" t="s">
        <v>249</v>
      </c>
      <c r="F1" s="1941"/>
      <c r="G1" s="1941"/>
      <c r="H1" s="1941"/>
      <c r="I1" s="1941"/>
      <c r="J1" s="1941"/>
      <c r="K1" s="1416"/>
      <c r="L1" s="1422" t="str">
        <f>'Facility Info'!$F$1</f>
        <v>Last Update:</v>
      </c>
      <c r="M1" s="1609">
        <f>'Facility Info'!$G$1</f>
        <v>43902</v>
      </c>
      <c r="N1" s="1416"/>
      <c r="O1" s="163"/>
      <c r="P1" s="982"/>
      <c r="Q1" s="164"/>
      <c r="R1" s="164" t="s">
        <v>138</v>
      </c>
      <c r="S1" s="165">
        <f>IP_WKL_Psychiatric/365</f>
        <v>0</v>
      </c>
      <c r="T1" s="166" t="s">
        <v>139</v>
      </c>
      <c r="U1" s="167">
        <f>IF('Inpatient Workload'!I26&lt;=0,'Inpatient Workload'!H26,'Inpatient Workload'!I26)</f>
        <v>0</v>
      </c>
      <c r="V1" s="164"/>
    </row>
    <row r="2" spans="1:22" s="168" customFormat="1" ht="19.5" customHeight="1">
      <c r="A2" s="466"/>
      <c r="B2" s="1416"/>
      <c r="C2" s="1416"/>
      <c r="D2" s="1417"/>
      <c r="E2" s="1418"/>
      <c r="F2" s="1419"/>
      <c r="G2" s="1420"/>
      <c r="H2" s="1421"/>
      <c r="I2" s="1421"/>
      <c r="J2" s="1421"/>
      <c r="K2" s="1416"/>
      <c r="L2" s="1422" t="str">
        <f>'Facility Info'!$F$2</f>
        <v>Today's Date:</v>
      </c>
      <c r="M2" s="1409">
        <f ca="1">'Facility Info'!$G$2</f>
        <v>43944.347985416665</v>
      </c>
      <c r="N2" s="1416"/>
      <c r="O2" s="163"/>
      <c r="P2" s="983" t="s">
        <v>140</v>
      </c>
      <c r="Q2" s="169" t="b">
        <f>FAC_INFO_FAC_TYPE=3</f>
        <v>0</v>
      </c>
      <c r="R2" s="1089" t="s">
        <v>696</v>
      </c>
      <c r="S2" s="170" t="b">
        <f>FAC_INFO_FAC_TYPE=6</f>
        <v>0</v>
      </c>
      <c r="T2" s="171" t="s">
        <v>141</v>
      </c>
      <c r="U2" s="167">
        <f>'Inpatient Workload'!H17+'Inpatient Workload'!H19+'Inpatient Workload'!H21</f>
        <v>0</v>
      </c>
      <c r="V2" s="172">
        <f>'Inpatient Workload'!I17+'Inpatient Workload'!I19+'Inpatient Workload'!I21</f>
        <v>0</v>
      </c>
    </row>
    <row r="3" spans="1:22" s="175" customFormat="1" ht="19.5" customHeight="1">
      <c r="A3" s="1042"/>
      <c r="B3" s="1749"/>
      <c r="C3" s="1425"/>
      <c r="D3" s="1426"/>
      <c r="E3" s="1942" t="str">
        <f>FAC_INFO_HSP_PROJECT_NAME</f>
        <v>Proposed Project</v>
      </c>
      <c r="F3" s="1943"/>
      <c r="G3" s="1943"/>
      <c r="H3" s="1943"/>
      <c r="I3" s="1943"/>
      <c r="J3" s="1943"/>
      <c r="K3" s="1427"/>
      <c r="L3" s="1427"/>
      <c r="M3" s="1426"/>
      <c r="N3" s="1425"/>
      <c r="O3" s="173"/>
      <c r="P3" s="984" t="s">
        <v>593</v>
      </c>
      <c r="Q3" s="1000" t="b">
        <f>OR(FAC_INFO_FAC_TYPE=6,FAC_INFO_FAC_TYPE=5)</f>
        <v>0</v>
      </c>
      <c r="R3" s="55" t="s">
        <v>142</v>
      </c>
      <c r="S3" s="48">
        <f>IP_WKL_Pediatrics/365</f>
        <v>0</v>
      </c>
      <c r="T3" s="171" t="s">
        <v>141</v>
      </c>
      <c r="U3" s="167">
        <f>IF(V2&lt;=0,U2,V2)</f>
        <v>0</v>
      </c>
      <c r="V3" s="174"/>
    </row>
    <row r="4" spans="1:22" s="183" customFormat="1" ht="19.5" customHeight="1" thickBot="1">
      <c r="A4" s="1043"/>
      <c r="B4" s="371"/>
      <c r="C4" s="1430"/>
      <c r="D4" s="371"/>
      <c r="E4" s="1431"/>
      <c r="F4" s="1432"/>
      <c r="G4" s="1433"/>
      <c r="H4" s="1434"/>
      <c r="I4" s="1434"/>
      <c r="J4" s="1435"/>
      <c r="K4" s="1434"/>
      <c r="L4" s="1434"/>
      <c r="M4" s="1430"/>
      <c r="N4" s="371"/>
      <c r="O4" s="179"/>
      <c r="P4" s="985" t="s">
        <v>600</v>
      </c>
      <c r="Q4" s="1001">
        <f>0.12*MAX('Facility Info'!E24:E34)/365</f>
        <v>0</v>
      </c>
      <c r="R4" s="180"/>
      <c r="S4" s="181"/>
      <c r="T4" s="181"/>
      <c r="U4" s="181"/>
      <c r="V4" s="182"/>
    </row>
    <row r="5" spans="1:22" s="188" customFormat="1" ht="19.5" customHeight="1">
      <c r="A5" s="468"/>
      <c r="B5" s="1437"/>
      <c r="C5" s="1438"/>
      <c r="D5" s="1439"/>
      <c r="E5" s="1440"/>
      <c r="F5" s="1441"/>
      <c r="G5" s="1442"/>
      <c r="H5" s="1443"/>
      <c r="I5" s="1443"/>
      <c r="J5" s="1443"/>
      <c r="K5" s="1443"/>
      <c r="L5" s="1443"/>
      <c r="M5" s="1438"/>
      <c r="N5" s="1444"/>
      <c r="O5" s="184"/>
      <c r="P5" s="985"/>
      <c r="Q5" s="1002"/>
      <c r="R5" s="185" t="s">
        <v>143</v>
      </c>
      <c r="S5" s="186">
        <f>IF(ALTRURAL,AlRuralADPL,IF(HOSPITAL,SUM(IP_WKL_General_Medicine:IP_WKL_ICU_CCU)/365,0))</f>
        <v>0</v>
      </c>
      <c r="T5" s="181"/>
      <c r="U5" s="181"/>
      <c r="V5" s="187"/>
    </row>
    <row r="6" spans="1:22" s="188" customFormat="1" ht="19.5" customHeight="1">
      <c r="A6" s="468"/>
      <c r="B6" s="1445" t="s">
        <v>871</v>
      </c>
      <c r="C6" s="1446"/>
      <c r="D6" s="1447"/>
      <c r="E6" s="1448"/>
      <c r="F6" s="1449"/>
      <c r="G6" s="1450"/>
      <c r="H6" s="1451"/>
      <c r="I6" s="1451"/>
      <c r="J6" s="1451"/>
      <c r="K6" s="1451"/>
      <c r="L6" s="1451"/>
      <c r="M6" s="1451"/>
      <c r="N6" s="1452"/>
      <c r="O6" s="184"/>
      <c r="P6" s="985"/>
      <c r="Q6" s="1002"/>
      <c r="R6" s="189" t="s">
        <v>148</v>
      </c>
      <c r="S6" s="190">
        <f>IP_WKL_No_of_Inpatient_General_Surgical_Cases</f>
        <v>0</v>
      </c>
      <c r="T6" s="181"/>
      <c r="U6" s="181"/>
      <c r="V6" s="187"/>
    </row>
    <row r="7" spans="1:22" s="188" customFormat="1" ht="19.5" customHeight="1">
      <c r="A7" s="468"/>
      <c r="B7" s="1453"/>
      <c r="C7" s="1454" t="s">
        <v>144</v>
      </c>
      <c r="D7" s="1447"/>
      <c r="E7" s="1455" t="s">
        <v>145</v>
      </c>
      <c r="F7" s="1456" t="s">
        <v>146</v>
      </c>
      <c r="G7" s="1456" t="s">
        <v>289</v>
      </c>
      <c r="H7" s="1457" t="s">
        <v>287</v>
      </c>
      <c r="I7" s="1457" t="s">
        <v>145</v>
      </c>
      <c r="J7" s="1456" t="s">
        <v>146</v>
      </c>
      <c r="K7" s="1457" t="s">
        <v>289</v>
      </c>
      <c r="L7" s="1457" t="s">
        <v>287</v>
      </c>
      <c r="M7" s="1458" t="s">
        <v>147</v>
      </c>
      <c r="N7" s="1459" t="s">
        <v>795</v>
      </c>
      <c r="O7" s="184"/>
      <c r="P7" s="984" t="s">
        <v>644</v>
      </c>
      <c r="Q7" s="1047" t="b">
        <f>FAC_INFO_FAC_TYPE=2</f>
        <v>0</v>
      </c>
      <c r="R7" s="187"/>
      <c r="S7" s="191"/>
      <c r="T7" s="191"/>
      <c r="U7" s="191"/>
      <c r="V7" s="187"/>
    </row>
    <row r="8" spans="1:22" s="198" customFormat="1" ht="19.5" customHeight="1" thickBot="1">
      <c r="A8" s="407"/>
      <c r="B8" s="1460"/>
      <c r="C8" s="1461"/>
      <c r="D8" s="1462" t="s">
        <v>149</v>
      </c>
      <c r="E8" s="1463"/>
      <c r="F8" s="1464"/>
      <c r="G8" s="1464"/>
      <c r="H8" s="1465"/>
      <c r="I8" s="1465"/>
      <c r="J8" s="1465"/>
      <c r="K8" s="1465"/>
      <c r="L8" s="1465"/>
      <c r="M8" s="1466"/>
      <c r="N8" s="1467"/>
      <c r="O8" s="193"/>
      <c r="P8" s="986"/>
      <c r="Q8" s="1004"/>
      <c r="R8" s="195" t="s">
        <v>150</v>
      </c>
      <c r="S8" s="196">
        <f>OP_WKL_Outpatient_Surgery</f>
        <v>0</v>
      </c>
      <c r="T8" s="197"/>
      <c r="U8" s="197"/>
      <c r="V8" s="194"/>
    </row>
    <row r="9" spans="1:22" s="183" customFormat="1" ht="19.5" customHeight="1">
      <c r="A9" s="1043"/>
      <c r="B9" s="199"/>
      <c r="D9" s="200"/>
      <c r="E9" s="201"/>
      <c r="F9" s="202"/>
      <c r="G9" s="202"/>
      <c r="H9" s="202"/>
      <c r="I9" s="202"/>
      <c r="J9" s="202"/>
      <c r="K9" s="202"/>
      <c r="L9" s="202"/>
      <c r="M9" s="203"/>
      <c r="N9" s="204"/>
      <c r="O9" s="179"/>
      <c r="P9" s="987"/>
      <c r="Q9" s="1003"/>
      <c r="R9" s="182"/>
      <c r="S9" s="205"/>
      <c r="T9" s="205"/>
      <c r="U9" s="205"/>
      <c r="V9" s="182"/>
    </row>
    <row r="10" spans="1:22" s="198" customFormat="1" ht="19.5" customHeight="1">
      <c r="A10" s="407"/>
      <c r="B10" s="206" t="s">
        <v>151</v>
      </c>
      <c r="D10" s="207"/>
      <c r="E10" s="208"/>
      <c r="F10" s="209"/>
      <c r="G10" s="209"/>
      <c r="H10" s="209"/>
      <c r="I10" s="209"/>
      <c r="J10" s="209"/>
      <c r="K10" s="209"/>
      <c r="L10" s="209"/>
      <c r="M10" s="210"/>
      <c r="N10" s="211"/>
      <c r="O10" s="212"/>
      <c r="P10" s="988"/>
      <c r="Q10" s="1005"/>
      <c r="R10" s="215"/>
      <c r="S10" s="216"/>
      <c r="T10" s="216"/>
      <c r="U10" s="213"/>
      <c r="V10" s="194"/>
    </row>
    <row r="11" spans="1:22" s="198" customFormat="1" ht="19.5" customHeight="1" thickBot="1">
      <c r="A11" s="407"/>
      <c r="B11" s="217"/>
      <c r="C11" s="218" t="s">
        <v>152</v>
      </c>
      <c r="D11" s="219"/>
      <c r="E11" s="208"/>
      <c r="F11" s="209"/>
      <c r="G11" s="209"/>
      <c r="H11" s="209"/>
      <c r="I11" s="209"/>
      <c r="J11" s="209"/>
      <c r="K11" s="209"/>
      <c r="L11" s="209"/>
      <c r="M11" s="1750"/>
      <c r="N11" s="1751"/>
      <c r="O11" s="220"/>
      <c r="P11" s="988"/>
      <c r="Q11" s="1005"/>
      <c r="R11" s="214"/>
      <c r="S11" s="213"/>
      <c r="T11" s="213"/>
      <c r="U11" s="213"/>
      <c r="V11" s="214"/>
    </row>
    <row r="12" spans="1:22" s="198" customFormat="1" ht="19.5" customHeight="1">
      <c r="A12" s="407"/>
      <c r="B12" s="221"/>
      <c r="C12" s="222"/>
      <c r="D12" s="222" t="s">
        <v>153</v>
      </c>
      <c r="E12" s="223"/>
      <c r="F12" s="224"/>
      <c r="G12" s="224"/>
      <c r="H12" s="224"/>
      <c r="I12" s="224"/>
      <c r="J12" s="224"/>
      <c r="K12" s="224"/>
      <c r="L12" s="224"/>
      <c r="M12" s="225"/>
      <c r="N12" s="1752"/>
      <c r="O12" s="193"/>
      <c r="P12" s="988"/>
      <c r="Q12" s="1005"/>
      <c r="R12" s="214"/>
      <c r="S12" s="214"/>
      <c r="T12" s="214"/>
      <c r="U12" s="214"/>
      <c r="V12" s="214"/>
    </row>
    <row r="13" spans="1:22" s="183" customFormat="1" ht="19.5" customHeight="1">
      <c r="A13" s="1043">
        <v>185</v>
      </c>
      <c r="B13" s="199"/>
      <c r="C13" s="226"/>
      <c r="D13" s="183" t="s">
        <v>154</v>
      </c>
      <c r="E13" s="227" t="s">
        <v>155</v>
      </c>
      <c r="F13" s="228">
        <v>7</v>
      </c>
      <c r="G13" s="229"/>
      <c r="H13" s="228">
        <v>1</v>
      </c>
      <c r="I13" s="228"/>
      <c r="J13" s="228"/>
      <c r="K13" s="228"/>
      <c r="L13" s="228"/>
      <c r="M13" s="230">
        <f>($M14+$M15+$M16+M20+M21+M22+M23)/$F13*$H13</f>
        <v>0</v>
      </c>
      <c r="N13" s="1753"/>
      <c r="O13" s="179"/>
      <c r="P13" s="987"/>
      <c r="Q13" s="1006"/>
      <c r="R13" s="214"/>
      <c r="S13" s="1088" t="s">
        <v>692</v>
      </c>
      <c r="T13" s="214"/>
      <c r="U13" s="214"/>
      <c r="V13" s="214"/>
    </row>
    <row r="14" spans="1:22" s="183" customFormat="1" ht="19.5" customHeight="1">
      <c r="A14" s="1043">
        <v>1</v>
      </c>
      <c r="B14" s="199"/>
      <c r="C14" s="226"/>
      <c r="D14" s="183" t="s">
        <v>156</v>
      </c>
      <c r="E14" s="227" t="s">
        <v>157</v>
      </c>
      <c r="F14" s="228">
        <v>1</v>
      </c>
      <c r="G14" s="229">
        <v>5</v>
      </c>
      <c r="H14" s="228">
        <v>1</v>
      </c>
      <c r="I14" s="227" t="s">
        <v>158</v>
      </c>
      <c r="J14" s="228">
        <v>12</v>
      </c>
      <c r="K14" s="229"/>
      <c r="L14" s="228">
        <v>1</v>
      </c>
      <c r="M14" s="230">
        <f>IF(IP_WKL_General_Medicine/365&gt;G14,$H14,H14*IP_WKL_General_Medicine/365/G14)+IF(IP_WKL_General_Medicine/365&lt;$G14,0,IP_WKL_General_Medicine/$J14*$L14/365)</f>
        <v>0</v>
      </c>
      <c r="N14" s="1753"/>
      <c r="O14" s="179"/>
      <c r="P14" s="987"/>
      <c r="Q14" s="1006"/>
      <c r="R14" s="214"/>
      <c r="S14" s="550">
        <v>2600</v>
      </c>
      <c r="T14" s="214" t="s">
        <v>159</v>
      </c>
      <c r="U14" s="214"/>
      <c r="V14" s="214"/>
    </row>
    <row r="15" spans="1:22" s="183" customFormat="1" ht="19.5" customHeight="1">
      <c r="A15" s="1043">
        <v>2</v>
      </c>
      <c r="B15" s="199"/>
      <c r="C15" s="226"/>
      <c r="D15" s="183" t="s">
        <v>160</v>
      </c>
      <c r="E15" s="227" t="s">
        <v>157</v>
      </c>
      <c r="F15" s="228">
        <v>1</v>
      </c>
      <c r="G15" s="229">
        <v>5</v>
      </c>
      <c r="H15" s="228">
        <v>0.85</v>
      </c>
      <c r="I15" s="227" t="s">
        <v>161</v>
      </c>
      <c r="J15" s="228">
        <v>17</v>
      </c>
      <c r="K15" s="229"/>
      <c r="L15" s="228">
        <v>1</v>
      </c>
      <c r="M15" s="230">
        <f>IF(IP_WKL_Pediatrics/365&gt;G15,$H15,H15*IP_WKL_Pediatrics/365/G15)+IF(IP_WKL_Pediatrics/365&lt;$G15,0,IP_WKL_Pediatrics/365/$J15*$L15)</f>
        <v>0</v>
      </c>
      <c r="N15" s="1753"/>
      <c r="O15" s="179"/>
      <c r="P15" s="987"/>
      <c r="Q15" s="1006"/>
      <c r="R15" s="214"/>
      <c r="S15" s="550">
        <v>5150</v>
      </c>
      <c r="T15" s="214" t="s">
        <v>162</v>
      </c>
      <c r="U15" s="214"/>
      <c r="V15" s="214"/>
    </row>
    <row r="16" spans="1:22" s="183" customFormat="1" ht="19.5" customHeight="1">
      <c r="A16" s="1043">
        <v>3</v>
      </c>
      <c r="B16" s="199"/>
      <c r="C16" s="226"/>
      <c r="D16" s="183" t="s">
        <v>163</v>
      </c>
      <c r="E16" s="227" t="s">
        <v>157</v>
      </c>
      <c r="F16" s="228">
        <v>1</v>
      </c>
      <c r="G16" s="229">
        <v>5</v>
      </c>
      <c r="H16" s="228">
        <v>0.55000000000000004</v>
      </c>
      <c r="I16" s="227" t="s">
        <v>164</v>
      </c>
      <c r="J16" s="228">
        <v>7</v>
      </c>
      <c r="K16" s="229"/>
      <c r="L16" s="228">
        <v>1</v>
      </c>
      <c r="M16" s="230">
        <f>IF(IP_WKL_Obstetrics_Gynecology/365&gt;G16,$H16,H16*IP_WKL_Obstetrics_Gynecology/365/G16)+IF(IP_WKL_Obstetrics_Gynecology/365&lt;G16,0,IP_WKL_Obstetrics_Gynecology/J16*L16/365)</f>
        <v>0</v>
      </c>
      <c r="N16" s="1753"/>
      <c r="O16" s="179"/>
      <c r="P16" s="987"/>
      <c r="Q16" s="1006"/>
      <c r="R16" s="214"/>
      <c r="S16" s="231">
        <f>IP_Subtotal_OnSiteDays-IP_WKL_Psychiatric-IP_WKL_ICU_CCU</f>
        <v>0</v>
      </c>
      <c r="T16" s="1088" t="s">
        <v>691</v>
      </c>
      <c r="U16" s="214"/>
      <c r="V16" s="214"/>
    </row>
    <row r="17" spans="1:22" s="183" customFormat="1" ht="19.5" customHeight="1" thickBot="1">
      <c r="A17" s="1043">
        <v>4</v>
      </c>
      <c r="B17" s="232"/>
      <c r="C17" s="233"/>
      <c r="D17" s="234" t="s">
        <v>165</v>
      </c>
      <c r="E17" s="235" t="s">
        <v>155</v>
      </c>
      <c r="F17" s="236">
        <v>4</v>
      </c>
      <c r="G17" s="237"/>
      <c r="H17" s="236">
        <v>1</v>
      </c>
      <c r="I17" s="236"/>
      <c r="J17" s="236"/>
      <c r="K17" s="236"/>
      <c r="L17" s="236"/>
      <c r="M17" s="238">
        <f>(M14+M15+M16+M20+M21+M22+M23)/F17*H17</f>
        <v>0</v>
      </c>
      <c r="N17" s="1754"/>
      <c r="O17" s="179"/>
      <c r="P17" s="987"/>
      <c r="Q17" s="1006"/>
      <c r="R17" s="214"/>
      <c r="S17" s="1088" t="s">
        <v>693</v>
      </c>
      <c r="T17" s="214"/>
      <c r="U17" s="214"/>
      <c r="V17" s="183" t="b">
        <f>MedSurgPedsBedDays&gt;RuralInpatientThreshold</f>
        <v>0</v>
      </c>
    </row>
    <row r="18" spans="1:22" s="183" customFormat="1" ht="19.5" customHeight="1" thickBot="1">
      <c r="A18" s="1043"/>
      <c r="B18" s="239"/>
      <c r="C18" s="240"/>
      <c r="D18" s="241"/>
      <c r="E18" s="208"/>
      <c r="F18" s="209"/>
      <c r="G18" s="209"/>
      <c r="H18" s="209"/>
      <c r="I18" s="209"/>
      <c r="J18" s="209"/>
      <c r="K18" s="209"/>
      <c r="L18" s="209"/>
      <c r="M18" s="594">
        <f>SUM(M13:M17)</f>
        <v>0</v>
      </c>
      <c r="N18" s="1751"/>
      <c r="O18" s="179"/>
      <c r="P18" s="989" t="s">
        <v>166</v>
      </c>
      <c r="Q18" s="1007"/>
      <c r="R18" s="214"/>
      <c r="S18" s="1088" t="s">
        <v>694</v>
      </c>
      <c r="T18" s="214"/>
      <c r="U18" s="214"/>
      <c r="V18" s="183" t="b">
        <f>MedSurgPedsBedDays&gt;InpatientThreshold</f>
        <v>0</v>
      </c>
    </row>
    <row r="19" spans="1:22" s="198" customFormat="1" ht="19.5" customHeight="1">
      <c r="A19" s="407"/>
      <c r="B19" s="221"/>
      <c r="C19" s="222" t="s">
        <v>167</v>
      </c>
      <c r="D19" s="242"/>
      <c r="E19" s="243"/>
      <c r="F19" s="244"/>
      <c r="G19" s="244"/>
      <c r="H19" s="244"/>
      <c r="I19" s="244"/>
      <c r="J19" s="244"/>
      <c r="K19" s="244"/>
      <c r="L19" s="244"/>
      <c r="M19" s="245"/>
      <c r="N19" s="1755"/>
      <c r="O19" s="193"/>
      <c r="P19" s="990"/>
      <c r="Q19" s="1008"/>
      <c r="R19" s="214"/>
      <c r="S19" s="214"/>
      <c r="T19" s="214"/>
      <c r="U19" s="214"/>
      <c r="V19" s="214"/>
    </row>
    <row r="20" spans="1:22" s="183" customFormat="1" ht="19.5" customHeight="1">
      <c r="A20" s="1043">
        <v>5</v>
      </c>
      <c r="B20" s="199"/>
      <c r="C20" s="226"/>
      <c r="D20" s="183" t="s">
        <v>168</v>
      </c>
      <c r="E20" s="246" t="s">
        <v>157</v>
      </c>
      <c r="F20" s="247">
        <v>1</v>
      </c>
      <c r="G20" s="248">
        <v>200</v>
      </c>
      <c r="H20" s="247">
        <v>1.5</v>
      </c>
      <c r="I20" s="246" t="s">
        <v>169</v>
      </c>
      <c r="J20" s="247">
        <v>190</v>
      </c>
      <c r="K20" s="248">
        <v>200</v>
      </c>
      <c r="L20" s="247">
        <v>1</v>
      </c>
      <c r="M20" s="249">
        <f>IF(ORCases&lt;G20,0,H20)+IF(ORCases&lt;G20,0,(ORCases-K20)/J20*L20)</f>
        <v>0</v>
      </c>
      <c r="N20" s="1756"/>
      <c r="O20" s="179"/>
      <c r="P20" s="987"/>
      <c r="Q20" s="1009"/>
      <c r="R20" s="214"/>
      <c r="S20" s="214"/>
      <c r="T20" s="214"/>
      <c r="U20" s="214"/>
      <c r="V20" s="214"/>
    </row>
    <row r="21" spans="1:22" s="183" customFormat="1" ht="19.5" customHeight="1">
      <c r="A21" s="1043">
        <v>6</v>
      </c>
      <c r="B21" s="199"/>
      <c r="C21" s="226"/>
      <c r="D21" s="183" t="s">
        <v>170</v>
      </c>
      <c r="E21" s="250" t="s">
        <v>157</v>
      </c>
      <c r="F21" s="228">
        <v>1</v>
      </c>
      <c r="G21" s="229">
        <v>200</v>
      </c>
      <c r="H21" s="228">
        <v>1.5</v>
      </c>
      <c r="I21" s="251" t="s">
        <v>171</v>
      </c>
      <c r="J21" s="228">
        <v>210</v>
      </c>
      <c r="K21" s="229">
        <v>200</v>
      </c>
      <c r="L21" s="228">
        <v>1</v>
      </c>
      <c r="M21" s="230">
        <f>IF((IP_WKL_Projected_No_Deliveries)&lt;G21,0,H21)+IF((IP_WKL_Projected_No_Deliveries)&lt;G21,0,((IP_WKL_Projected_No_Deliveries)-K21)/J21*L21)</f>
        <v>0</v>
      </c>
      <c r="N21" s="1753"/>
      <c r="O21" s="179"/>
      <c r="P21" s="987"/>
      <c r="Q21" s="1009"/>
      <c r="R21" s="214"/>
      <c r="S21" s="214"/>
      <c r="T21" s="214"/>
      <c r="U21" s="214"/>
      <c r="V21" s="214"/>
    </row>
    <row r="22" spans="1:22" s="183" customFormat="1" ht="19.5" customHeight="1">
      <c r="A22" s="1043">
        <v>7</v>
      </c>
      <c r="B22" s="199"/>
      <c r="C22" s="226"/>
      <c r="D22" s="252" t="s">
        <v>172</v>
      </c>
      <c r="E22" s="253" t="s">
        <v>171</v>
      </c>
      <c r="F22" s="254">
        <v>200</v>
      </c>
      <c r="G22" s="255">
        <v>125</v>
      </c>
      <c r="H22" s="254">
        <v>1</v>
      </c>
      <c r="I22" s="254"/>
      <c r="J22" s="254"/>
      <c r="K22" s="254"/>
      <c r="L22" s="254">
        <v>2</v>
      </c>
      <c r="M22" s="256">
        <f>IF((IP_WKL_Projected_No_Deliveries)&lt;G22,0,((IP_WKL_Projected_No_Deliveries))/F22*H22)+(HOSPITAL*L22)+(AltRuralBirthing*L22)</f>
        <v>0</v>
      </c>
      <c r="N22" s="1753"/>
      <c r="O22" s="179"/>
      <c r="P22" s="987"/>
      <c r="Q22" s="1009"/>
      <c r="R22" s="214"/>
      <c r="S22" s="214"/>
      <c r="T22" s="214"/>
      <c r="U22" s="214"/>
      <c r="V22" s="214"/>
    </row>
    <row r="23" spans="1:22" s="183" customFormat="1" ht="19.5" customHeight="1">
      <c r="A23" s="1043">
        <v>8</v>
      </c>
      <c r="B23" s="257"/>
      <c r="C23" s="226"/>
      <c r="D23" s="182" t="s">
        <v>173</v>
      </c>
      <c r="E23" s="258" t="s">
        <v>80</v>
      </c>
      <c r="F23" s="259">
        <v>1</v>
      </c>
      <c r="G23" s="258"/>
      <c r="H23" s="259">
        <v>1.5</v>
      </c>
      <c r="I23" s="258" t="s">
        <v>174</v>
      </c>
      <c r="J23" s="259">
        <v>500</v>
      </c>
      <c r="K23" s="258">
        <v>200</v>
      </c>
      <c r="L23" s="259">
        <v>1</v>
      </c>
      <c r="M23" s="230">
        <f>IF(OR($M$20&gt;0,$M$21&gt;0),H23,0)+IF(SUM(IP_WKL_Projected_No_Deliveries:IP_WKL_No_of_Inpatient_General_Surgical_Cases)&lt;K23,0,(SUM(IP_WKL_Projected_No_Deliveries:IP_WKL_No_of_Inpatient_General_Surgical_Cases)-K23)/J23*L23)</f>
        <v>0</v>
      </c>
      <c r="N23" s="1757"/>
      <c r="O23" s="179"/>
      <c r="P23" s="987"/>
      <c r="Q23" s="1009"/>
      <c r="R23" s="214"/>
      <c r="S23" s="214"/>
      <c r="T23" s="214"/>
      <c r="U23" s="214"/>
      <c r="V23" s="214"/>
    </row>
    <row r="24" spans="1:22" s="183" customFormat="1" ht="19.5" customHeight="1" thickBot="1">
      <c r="A24" s="1043"/>
      <c r="B24" s="199"/>
      <c r="C24" s="226"/>
      <c r="D24" s="260"/>
      <c r="E24" s="208"/>
      <c r="F24" s="209"/>
      <c r="G24" s="209"/>
      <c r="H24" s="209"/>
      <c r="I24" s="209"/>
      <c r="J24" s="209"/>
      <c r="K24" s="209"/>
      <c r="L24" s="209"/>
      <c r="M24" s="595">
        <f>SUM(M20:N23)</f>
        <v>0</v>
      </c>
      <c r="N24" s="1751"/>
      <c r="O24" s="179"/>
      <c r="P24" s="987"/>
      <c r="Q24" s="1010"/>
      <c r="R24" s="214"/>
      <c r="S24" s="214"/>
      <c r="T24" s="214"/>
      <c r="U24" s="214"/>
      <c r="V24" s="214"/>
    </row>
    <row r="25" spans="1:22" s="198" customFormat="1" ht="19.5" customHeight="1">
      <c r="A25" s="407"/>
      <c r="B25" s="264"/>
      <c r="C25" s="265"/>
      <c r="D25" s="266" t="s">
        <v>175</v>
      </c>
      <c r="E25" s="243"/>
      <c r="F25" s="244"/>
      <c r="G25" s="244"/>
      <c r="H25" s="244"/>
      <c r="I25" s="244"/>
      <c r="J25" s="244"/>
      <c r="K25" s="244"/>
      <c r="L25" s="244"/>
      <c r="M25" s="245"/>
      <c r="N25" s="1755"/>
      <c r="O25" s="193"/>
      <c r="P25" s="990"/>
      <c r="Q25" s="1008"/>
      <c r="R25" s="214"/>
      <c r="S25" s="214"/>
      <c r="T25" s="214"/>
      <c r="U25" s="214"/>
      <c r="V25" s="214"/>
    </row>
    <row r="26" spans="1:22" s="183" customFormat="1" ht="19.5" customHeight="1">
      <c r="A26" s="1043">
        <v>209</v>
      </c>
      <c r="B26" s="199"/>
      <c r="C26" s="267"/>
      <c r="D26" s="268" t="s">
        <v>176</v>
      </c>
      <c r="E26" s="269" t="s">
        <v>177</v>
      </c>
      <c r="F26" s="270">
        <v>1</v>
      </c>
      <c r="G26" s="271"/>
      <c r="H26" s="270">
        <v>1</v>
      </c>
      <c r="I26" s="270" t="s">
        <v>594</v>
      </c>
      <c r="J26" s="270">
        <v>1</v>
      </c>
      <c r="K26" s="270">
        <v>0.5</v>
      </c>
      <c r="L26" s="270"/>
      <c r="M26" s="272">
        <f>IF(OR(NOT(HOSPITAL),AND(ISREMOTE,NOT(MeetsRuralInpatientThreshold)),AND(NOT(ISREMOTE),NOT(MeetsInpatientThreshold))),
       IF(ALTRURAL,
            IF(AND(AlRuralADPL&gt;=4,AlRuralADPL&lt;=6),
                 K26,
                 IF(AND(AlRuralADPL&gt;6,AlRuralADPL&lt;=12),
                      J26,
                 0)),
             0),
         H26+'Inpatient Workload'!F26)</f>
        <v>0</v>
      </c>
      <c r="N26" s="1758"/>
      <c r="O26" s="179"/>
      <c r="P26" s="987"/>
      <c r="Q26" s="1006"/>
      <c r="R26" s="214"/>
      <c r="S26" s="214"/>
      <c r="T26" s="214"/>
      <c r="U26" s="214"/>
      <c r="V26" s="214"/>
    </row>
    <row r="27" spans="1:22" s="183" customFormat="1" ht="19.5" customHeight="1">
      <c r="A27" s="1043">
        <v>219</v>
      </c>
      <c r="B27" s="199"/>
      <c r="C27" s="267"/>
      <c r="D27" s="268" t="s">
        <v>178</v>
      </c>
      <c r="E27" s="273" t="s">
        <v>179</v>
      </c>
      <c r="F27" s="254">
        <v>1</v>
      </c>
      <c r="G27" s="255"/>
      <c r="H27" s="254">
        <v>3</v>
      </c>
      <c r="I27" s="254"/>
      <c r="J27" s="254"/>
      <c r="K27" s="254"/>
      <c r="L27" s="254"/>
      <c r="M27" s="274">
        <f>IF(OR(NOT(HOSPITAL),AND(ISREMOTE,NOT(MeetsRuralInpatientThreshold)),AND(NOT(ISREMOTE),NOT(MeetsInpatientThreshold))),
       0,
       H27)</f>
        <v>0</v>
      </c>
      <c r="N27" s="1759"/>
      <c r="O27" s="179"/>
      <c r="P27" s="987"/>
      <c r="Q27" s="1006"/>
      <c r="R27" s="214"/>
      <c r="S27" s="214"/>
      <c r="T27" s="214"/>
      <c r="U27" s="214"/>
      <c r="V27" s="214"/>
    </row>
    <row r="28" spans="1:22" s="183" customFormat="1" ht="19.5" customHeight="1">
      <c r="A28" s="1043">
        <v>9</v>
      </c>
      <c r="B28" s="199"/>
      <c r="C28" s="267"/>
      <c r="D28" s="268" t="s">
        <v>180</v>
      </c>
      <c r="E28" s="273" t="s">
        <v>179</v>
      </c>
      <c r="F28" s="254">
        <v>1</v>
      </c>
      <c r="G28" s="255">
        <v>5</v>
      </c>
      <c r="H28" s="254">
        <v>14.65</v>
      </c>
      <c r="I28" s="275" t="s">
        <v>181</v>
      </c>
      <c r="J28" s="254">
        <v>1</v>
      </c>
      <c r="K28" s="255">
        <v>10</v>
      </c>
      <c r="L28" s="254">
        <v>0.3</v>
      </c>
      <c r="M28" s="274">
        <f>IF(OR(NOT(HOSPITAL),AND(NOT(ISREMOTE),NOT(MeetsInpatientThreshold)),AND(ISREMOTE,NOT(MeetsRuralInpatientThreshold))),
       IF(ALTRURAL,
            G28+AlRuralADPL*L28,
            0),
       IF((IP_WKL_General_Medicine+IP_WKL_Surgery)/365&lt;=K28,
          ((IP_WKL_General_Medicine+IP_WKL_Surgery)/365)*(H28/K28),
           H28+('Inpatient Workload'!$H$17+'Inpatient Workload'!$H$19-K28)*L28))</f>
        <v>0</v>
      </c>
      <c r="N28" s="1759"/>
      <c r="P28" s="603" t="s">
        <v>695</v>
      </c>
      <c r="Q28" s="1006"/>
      <c r="R28" s="214"/>
      <c r="S28" s="214"/>
      <c r="T28" s="214"/>
      <c r="U28" s="214"/>
      <c r="V28" s="214"/>
    </row>
    <row r="29" spans="1:22" s="183" customFormat="1" ht="19.5" customHeight="1">
      <c r="A29" s="1043">
        <v>10</v>
      </c>
      <c r="B29" s="199"/>
      <c r="C29" s="267"/>
      <c r="D29" s="268" t="s">
        <v>182</v>
      </c>
      <c r="E29" s="273" t="s">
        <v>179</v>
      </c>
      <c r="F29" s="254">
        <v>1</v>
      </c>
      <c r="G29" s="255">
        <v>1</v>
      </c>
      <c r="H29" s="254">
        <v>4.6500000000000004</v>
      </c>
      <c r="I29" s="275"/>
      <c r="J29" s="254">
        <v>1</v>
      </c>
      <c r="K29" s="255">
        <v>10</v>
      </c>
      <c r="L29" s="254">
        <v>0.3</v>
      </c>
      <c r="M29" s="274">
        <f>IF(OR(NOT(HOSPITAL),AND(NOT(ISREMOTE),NOT(MeetsInpatientThreshold)),AND(ISREMOTE,NOT(MeetsRuralInpatientThreshold))),
       IF(ALTRURAL,
            G29+AlRuralADPL*2*L29,
            0),
       IF((IP_WKL_General_Medicine+IP_WKL_Surgery)/365&lt;=K29,
            (IP_WKL_General_Medicine+IP_WKL_Surgery)/365/K29*H29,
            H29+('Inpatient Workload'!$H$17+'Inpatient Workload'!$H$19-K29)*L29))</f>
        <v>0</v>
      </c>
      <c r="N29" s="1759"/>
      <c r="O29" s="179"/>
      <c r="P29" s="987"/>
      <c r="Q29" s="1006"/>
      <c r="R29" s="1088"/>
      <c r="S29" s="214"/>
      <c r="T29" s="214"/>
      <c r="U29" s="214"/>
      <c r="V29" s="214"/>
    </row>
    <row r="30" spans="1:22" s="183" customFormat="1" ht="19.5" customHeight="1">
      <c r="A30" s="1043">
        <v>11</v>
      </c>
      <c r="B30" s="199"/>
      <c r="C30" s="267"/>
      <c r="D30" s="268" t="s">
        <v>183</v>
      </c>
      <c r="E30" s="273" t="s">
        <v>179</v>
      </c>
      <c r="F30" s="254">
        <v>1</v>
      </c>
      <c r="G30" s="255">
        <v>0.5</v>
      </c>
      <c r="H30" s="254">
        <v>4</v>
      </c>
      <c r="I30" s="275" t="s">
        <v>181</v>
      </c>
      <c r="J30" s="254">
        <v>1</v>
      </c>
      <c r="K30" s="255">
        <v>10</v>
      </c>
      <c r="L30" s="254">
        <v>0.4</v>
      </c>
      <c r="M30" s="274">
        <f>IF(OR(NOT(HOSPITAL),AND(NOT(ISREMOTE),NOT(MeetsInpatientThreshold)),AND(ISREMOTE,NOT(MeetsRuralInpatientThreshold))),
       IF(ALTRURAL,
            IF(AND(Q4&gt;=4,Q4&lt;=6),
                 K26,
                 IF(AND(Q4&gt;6,Q4&lt;=12),
                      J26,
                      0)),
         0),
         IF((IP_WKL_General_Medicine+IP_WKL_Surgery)/365&lt;=K30,
                (IP_WKL_General_Medicine+IP_WKL_Surgery)/365/K30*H30,
                H30+('Inpatient Workload'!$H$17+'Inpatient Workload'!$H$19-K30)*L30))</f>
        <v>0</v>
      </c>
      <c r="N30" s="1759"/>
      <c r="O30" s="179"/>
      <c r="P30" s="1101"/>
      <c r="Q30" s="1006"/>
      <c r="R30" s="214"/>
      <c r="S30" s="214"/>
      <c r="T30" s="214"/>
      <c r="U30" s="214"/>
      <c r="V30" s="214"/>
    </row>
    <row r="31" spans="1:22" s="182" customFormat="1" ht="19.5" customHeight="1">
      <c r="A31" s="487">
        <v>12</v>
      </c>
      <c r="B31" s="1051"/>
      <c r="C31" s="1114"/>
      <c r="D31" s="252" t="s">
        <v>184</v>
      </c>
      <c r="E31" s="1115" t="s">
        <v>179</v>
      </c>
      <c r="F31" s="1063">
        <v>1</v>
      </c>
      <c r="G31" s="1062">
        <v>5</v>
      </c>
      <c r="H31" s="1063">
        <v>14.65</v>
      </c>
      <c r="I31" s="1116" t="s">
        <v>181</v>
      </c>
      <c r="J31" s="1063">
        <v>1</v>
      </c>
      <c r="K31" s="1062">
        <v>10</v>
      </c>
      <c r="L31" s="1063">
        <v>0.3</v>
      </c>
      <c r="M31" s="1117">
        <f>IF(OR(NOT(HOSPITAL),AND(NOT(ISREMOTE),NOT(MeetsInpatientThreshold)),AND(ISREMOTE,NOT(MeetsRuralInpatientThreshold))),
       IF(ALTRURAL,
            0,
            0),
       IF(IP_WKL_Pediatrics/365&lt;=K31,
            IP_WKL_Pediatrics/365/K31*H31,
            H31+('Inpatient Workload'!$H$20-K31)*L31))</f>
        <v>0</v>
      </c>
      <c r="N31" s="1759"/>
      <c r="O31" s="1118"/>
      <c r="P31" s="1101"/>
      <c r="Q31" s="1006"/>
      <c r="R31" s="214"/>
      <c r="S31" s="214"/>
      <c r="T31" s="231">
        <f>'Outpatient Workload'!D10</f>
        <v>0</v>
      </c>
      <c r="U31" s="214"/>
      <c r="V31" s="214"/>
    </row>
    <row r="32" spans="1:22" s="182" customFormat="1" ht="19.5" customHeight="1">
      <c r="A32" s="487">
        <v>13</v>
      </c>
      <c r="B32" s="1051"/>
      <c r="C32" s="1114"/>
      <c r="D32" s="252" t="s">
        <v>185</v>
      </c>
      <c r="E32" s="1115" t="s">
        <v>179</v>
      </c>
      <c r="F32" s="1063">
        <v>1</v>
      </c>
      <c r="G32" s="1062">
        <v>1</v>
      </c>
      <c r="H32" s="1063">
        <v>4.6500000000000004</v>
      </c>
      <c r="I32" s="1116"/>
      <c r="J32" s="1063">
        <v>1</v>
      </c>
      <c r="K32" s="1062">
        <v>10</v>
      </c>
      <c r="L32" s="1063">
        <v>0.3</v>
      </c>
      <c r="M32" s="1117">
        <f>IF(OR(NOT(HOSPITAL),AND(NOT(ISREMOTE),NOT(MeetsInpatientThreshold)),AND(ISREMOTE,NOT(MeetsRuralInpatientThreshold))),
       IF(ALTRURAL,
            0,
            0),
       IF(IP_WKL_Pediatrics/365&lt;=K32,
            IP_WKL_Pediatrics/365/K32*H32,
            H32+('Inpatient Workload'!$H$20-K32)*L32))</f>
        <v>0</v>
      </c>
      <c r="N32" s="1759"/>
      <c r="O32" s="1118"/>
      <c r="P32" s="1119"/>
      <c r="Q32" s="12"/>
      <c r="R32" s="214"/>
      <c r="S32" s="214"/>
      <c r="T32" s="214"/>
      <c r="U32" s="214"/>
      <c r="V32" s="214"/>
    </row>
    <row r="33" spans="1:22" s="182" customFormat="1" ht="19.5" customHeight="1">
      <c r="A33" s="487">
        <v>14</v>
      </c>
      <c r="B33" s="1051"/>
      <c r="C33" s="1114"/>
      <c r="D33" s="252" t="s">
        <v>186</v>
      </c>
      <c r="E33" s="1115" t="s">
        <v>179</v>
      </c>
      <c r="F33" s="1063">
        <v>1</v>
      </c>
      <c r="G33" s="1062">
        <v>0.5</v>
      </c>
      <c r="H33" s="1063">
        <v>4</v>
      </c>
      <c r="I33" s="1116" t="s">
        <v>181</v>
      </c>
      <c r="J33" s="1063">
        <v>1</v>
      </c>
      <c r="K33" s="1062">
        <v>10</v>
      </c>
      <c r="L33" s="1063">
        <v>0.4</v>
      </c>
      <c r="M33" s="1117">
        <f>IF(OR(NOT(HOSPITAL),AND(NOT(ISREMOTE),NOT(MeetsInpatientThreshold)),AND(ISREMOTE,NOT(MeetsRuralInpatientThreshold))),
       IF(ALTRURAL,
            0,
                  0),
       IF(IP_WKL_Pediatrics/365&lt;=K33,
            IP_WKL_Pediatrics/365/K33*H33,
            H33+('Inpatient Workload'!$H$20-K33)*L33))</f>
        <v>0</v>
      </c>
      <c r="N33" s="1759"/>
      <c r="O33" s="1118"/>
      <c r="P33" s="987"/>
      <c r="Q33" s="12"/>
      <c r="R33" s="214"/>
      <c r="S33" s="214"/>
      <c r="T33" s="214"/>
      <c r="U33" s="214"/>
      <c r="V33" s="214"/>
    </row>
    <row r="34" spans="1:22" s="182" customFormat="1" ht="19.5" customHeight="1">
      <c r="A34" s="487">
        <v>15</v>
      </c>
      <c r="B34" s="1051"/>
      <c r="C34" s="1114"/>
      <c r="D34" s="252" t="s">
        <v>187</v>
      </c>
      <c r="E34" s="1116" t="s">
        <v>181</v>
      </c>
      <c r="F34" s="1063">
        <v>1</v>
      </c>
      <c r="G34" s="1118">
        <v>125</v>
      </c>
      <c r="H34" s="1063">
        <v>1</v>
      </c>
      <c r="I34" s="1116" t="s">
        <v>188</v>
      </c>
      <c r="J34" s="1063">
        <v>200</v>
      </c>
      <c r="K34" s="1062">
        <v>400</v>
      </c>
      <c r="L34" s="1063">
        <v>1.5</v>
      </c>
      <c r="M34" s="1117">
        <f>IF(OR(ERLevel=1,NOT(HOSPITAL),IP_WKL_Projected_No_Deliveries&lt;G34,AND(NOT(ISREMOTE),NOT(MeetsInpatientThreshold)),AND(ISREMOTE,NOT(MeetsRuralInpatientThreshold))),
       IF(AltRuralBirthing,
            K35,
            0),
       'Inpatient Workload'!$H$18/F34*H34+IF(IP_WKL_Projected_No_Deliveries&gt;K34,
                                                                    (IP_WKL_Projected_No_Deliveries-K34)/J34*L34,
                                                                    0))</f>
        <v>0</v>
      </c>
      <c r="N34" s="1753"/>
      <c r="P34" s="987" t="s">
        <v>189</v>
      </c>
      <c r="Q34" s="12"/>
      <c r="R34" s="214"/>
      <c r="S34" s="214"/>
      <c r="T34" s="214"/>
      <c r="U34" s="214"/>
      <c r="V34" s="214"/>
    </row>
    <row r="35" spans="1:22" s="183" customFormat="1" ht="19.5" customHeight="1">
      <c r="A35" s="1043">
        <v>16</v>
      </c>
      <c r="B35" s="199"/>
      <c r="C35" s="267"/>
      <c r="D35" s="276" t="s">
        <v>190</v>
      </c>
      <c r="E35" s="277" t="s">
        <v>181</v>
      </c>
      <c r="F35" s="278">
        <v>1</v>
      </c>
      <c r="G35" s="1118">
        <v>125</v>
      </c>
      <c r="H35" s="278">
        <v>0.5</v>
      </c>
      <c r="I35" s="278"/>
      <c r="J35" s="278"/>
      <c r="K35" s="278">
        <v>5</v>
      </c>
      <c r="L35" s="278"/>
      <c r="M35" s="280">
        <f>IF(OR(ERLevel=1,NOT(HOSPITAL),IP_WKL_Projected_No_Deliveries&lt;G35,AND(NOT(ISREMOTE),NOT(MeetsInpatientThreshold)),AND(ISREMOTE,NOT(MeetsRuralInpatientThreshold))),
       0,
       ('Inpatient Workload'!$H$18/F35)*H35 + (IP_WKL_Projected_No_Deliveries/365)*'INPAT&amp;ANCILLARY-FTE'!H35)</f>
        <v>0</v>
      </c>
      <c r="N35" s="1753"/>
      <c r="P35" s="987"/>
      <c r="Q35" s="11"/>
      <c r="R35" s="214"/>
      <c r="S35" s="214"/>
      <c r="T35" s="214"/>
      <c r="U35" s="214"/>
      <c r="V35" s="214"/>
    </row>
    <row r="36" spans="1:22" s="183" customFormat="1" ht="19.5" customHeight="1">
      <c r="A36" s="1043">
        <v>17</v>
      </c>
      <c r="B36" s="199"/>
      <c r="C36" s="267"/>
      <c r="D36" s="276" t="s">
        <v>191</v>
      </c>
      <c r="E36" s="277" t="s">
        <v>181</v>
      </c>
      <c r="F36" s="278">
        <v>1</v>
      </c>
      <c r="G36" s="1118">
        <v>125</v>
      </c>
      <c r="H36" s="278">
        <v>0.1</v>
      </c>
      <c r="I36" s="277" t="s">
        <v>188</v>
      </c>
      <c r="J36" s="278">
        <v>200</v>
      </c>
      <c r="K36" s="279">
        <v>400</v>
      </c>
      <c r="L36" s="278">
        <v>0.5</v>
      </c>
      <c r="M36" s="280">
        <f>IF(OR(ERLevel=1,NOT(HOSPITAL),IP_WKL_Projected_No_Deliveries&lt;G36,AND(NOT(ISREMOTE),NOT(MeetsInpatientThreshold)),AND(ISREMOTE,NOT(MeetsRuralInpatientThreshold))),
       0,
       'Inpatient Workload'!$H$18/F36*H36+IF(IP_WKL_Projected_No_Deliveries&gt;K36,
                                                               (IP_WKL_Projected_No_Deliveries-K36)/J36*L36,
                                                               0))</f>
        <v>0</v>
      </c>
      <c r="N36" s="1753"/>
      <c r="P36" s="987"/>
      <c r="Q36" s="11"/>
      <c r="R36" s="214"/>
      <c r="S36" s="214"/>
      <c r="T36" s="214"/>
      <c r="U36" s="214"/>
      <c r="V36" s="214"/>
    </row>
    <row r="37" spans="1:22" s="183" customFormat="1" ht="19.5" customHeight="1">
      <c r="A37" s="1043">
        <v>20</v>
      </c>
      <c r="B37" s="199"/>
      <c r="C37" s="267"/>
      <c r="D37" s="276" t="s">
        <v>192</v>
      </c>
      <c r="E37" s="277" t="s">
        <v>193</v>
      </c>
      <c r="F37" s="278">
        <v>1</v>
      </c>
      <c r="G37" s="1118"/>
      <c r="H37" s="278">
        <v>1</v>
      </c>
      <c r="I37" s="278" t="s">
        <v>181</v>
      </c>
      <c r="J37" s="278">
        <v>2</v>
      </c>
      <c r="K37" s="281">
        <v>2</v>
      </c>
      <c r="L37" s="278">
        <v>1</v>
      </c>
      <c r="M37" s="280">
        <f>IF(OR(ERLevel=1,NOT(HOSPITAL)),0,H37)</f>
        <v>0</v>
      </c>
      <c r="N37" s="1753"/>
      <c r="P37" s="987"/>
      <c r="Q37" s="1006"/>
      <c r="R37" s="214"/>
      <c r="S37" s="214"/>
      <c r="T37" s="214"/>
      <c r="U37" s="214"/>
      <c r="V37" s="214"/>
    </row>
    <row r="38" spans="1:22" s="183" customFormat="1" ht="19.5" customHeight="1">
      <c r="A38" s="1043">
        <v>21</v>
      </c>
      <c r="B38" s="199"/>
      <c r="C38" s="267"/>
      <c r="D38" s="276" t="s">
        <v>194</v>
      </c>
      <c r="E38" s="282" t="s">
        <v>193</v>
      </c>
      <c r="F38" s="278">
        <v>1</v>
      </c>
      <c r="G38" s="1118"/>
      <c r="H38" s="278">
        <v>0.43</v>
      </c>
      <c r="I38" s="282" t="s">
        <v>193</v>
      </c>
      <c r="J38" s="278">
        <v>4</v>
      </c>
      <c r="K38" s="278"/>
      <c r="L38" s="278">
        <v>1</v>
      </c>
      <c r="M38" s="280">
        <f>IF(OR(ERLevel=1,NOT(HOSPITAL)),0,H38)</f>
        <v>0</v>
      </c>
      <c r="N38" s="1753"/>
      <c r="P38" s="987"/>
      <c r="Q38" s="1006"/>
      <c r="R38" s="214"/>
      <c r="S38" s="214"/>
      <c r="T38" s="214"/>
      <c r="U38" s="214"/>
      <c r="V38" s="214"/>
    </row>
    <row r="39" spans="1:22" s="183" customFormat="1" ht="19.5" customHeight="1">
      <c r="A39" s="1043">
        <v>22</v>
      </c>
      <c r="B39" s="199"/>
      <c r="C39" s="267"/>
      <c r="D39" s="276" t="s">
        <v>195</v>
      </c>
      <c r="E39" s="277" t="s">
        <v>196</v>
      </c>
      <c r="F39" s="278">
        <v>1</v>
      </c>
      <c r="G39" s="1118"/>
      <c r="H39" s="278">
        <v>0.33</v>
      </c>
      <c r="I39" s="278"/>
      <c r="J39" s="278"/>
      <c r="K39" s="278"/>
      <c r="L39" s="278"/>
      <c r="M39" s="280">
        <f>IF(OR(ERLevel=1,NOT(HOSPITAL)),0,F39*H39)</f>
        <v>0</v>
      </c>
      <c r="N39" s="1753"/>
      <c r="P39" s="987"/>
      <c r="Q39" s="1006"/>
      <c r="R39" s="214"/>
      <c r="S39" s="214"/>
      <c r="T39" s="214"/>
      <c r="U39" s="214"/>
      <c r="V39" s="214"/>
    </row>
    <row r="40" spans="1:22" s="183" customFormat="1" ht="19.5" customHeight="1">
      <c r="A40" s="1043">
        <v>23</v>
      </c>
      <c r="B40" s="199"/>
      <c r="C40" s="267"/>
      <c r="D40" s="276" t="s">
        <v>197</v>
      </c>
      <c r="E40" s="277" t="s">
        <v>157</v>
      </c>
      <c r="F40" s="278">
        <v>1</v>
      </c>
      <c r="G40" s="180">
        <v>876</v>
      </c>
      <c r="H40" s="254">
        <v>10</v>
      </c>
      <c r="I40" s="275" t="s">
        <v>181</v>
      </c>
      <c r="J40" s="254">
        <v>4.8</v>
      </c>
      <c r="K40" s="255">
        <v>10</v>
      </c>
      <c r="L40" s="254">
        <v>1</v>
      </c>
      <c r="M40" s="274">
        <f>IF(OR(NOT(HOSPITAL),IP_WKL_ICU_CCU&lt;G40),
       0,
        F40+H40
      +(('Inpatient Workload'!N25&gt;0)*(J40*ROUNDUP(IP_WKL_ICU_CCU/(2*365),0)))
       +('Inpatient Workload'!N25=0)*(J40*(ROUNDUP(IP_WKL_ICU_CCU/(2*365),0)-10)*(ROUNDUP(IP_WKL_ICU_CCU/365/2,0)&gt;10)))</f>
        <v>0</v>
      </c>
      <c r="N40" s="1753"/>
      <c r="O40" s="179">
        <f>J40*ROUNDUP(IP_WKL_ICU_CCU/365/2,0)</f>
        <v>0</v>
      </c>
      <c r="P40" s="989" t="s">
        <v>360</v>
      </c>
      <c r="Q40" s="1006">
        <v>4.0999999999999996</v>
      </c>
      <c r="R40" s="214"/>
      <c r="S40" s="214"/>
      <c r="T40" s="214"/>
      <c r="U40" s="214"/>
      <c r="V40" s="214"/>
    </row>
    <row r="41" spans="1:22" s="183" customFormat="1" ht="19.5" customHeight="1">
      <c r="A41" s="1043">
        <v>76</v>
      </c>
      <c r="B41" s="199"/>
      <c r="C41" s="267"/>
      <c r="D41" s="276" t="s">
        <v>198</v>
      </c>
      <c r="E41" s="277" t="s">
        <v>157</v>
      </c>
      <c r="F41" s="278">
        <v>2</v>
      </c>
      <c r="G41" s="180">
        <v>876</v>
      </c>
      <c r="H41" s="254">
        <v>1</v>
      </c>
      <c r="I41" s="275" t="s">
        <v>697</v>
      </c>
      <c r="J41" s="254">
        <v>10</v>
      </c>
      <c r="K41" s="255"/>
      <c r="L41" s="254"/>
      <c r="M41" s="274">
        <f>IF(OR(NOT(HOSPITAL),IP_WKL_ICU_CCU&lt;G41),
       0,
       F41+J41)</f>
        <v>0</v>
      </c>
      <c r="N41" s="1753"/>
      <c r="O41" s="179"/>
      <c r="P41" s="987"/>
      <c r="Q41" s="1006"/>
      <c r="R41" s="214"/>
      <c r="S41" s="214"/>
      <c r="T41" s="214"/>
      <c r="U41" s="214"/>
      <c r="V41" s="214"/>
    </row>
    <row r="42" spans="1:22" s="183" customFormat="1" ht="19.5" customHeight="1">
      <c r="A42" s="1043">
        <v>24</v>
      </c>
      <c r="B42" s="199"/>
      <c r="C42" s="267"/>
      <c r="D42" s="276" t="s">
        <v>199</v>
      </c>
      <c r="E42" s="277" t="s">
        <v>200</v>
      </c>
      <c r="F42" s="278">
        <v>1</v>
      </c>
      <c r="G42" s="180">
        <v>450</v>
      </c>
      <c r="H42" s="254">
        <v>5</v>
      </c>
      <c r="I42" s="275" t="s">
        <v>201</v>
      </c>
      <c r="J42" s="254">
        <v>200</v>
      </c>
      <c r="K42" s="255">
        <v>800</v>
      </c>
      <c r="L42" s="254">
        <v>1.33</v>
      </c>
      <c r="M42" s="274">
        <f>IF(OR(NOT(HOSPITAL),(IP_WKL_No_of_Inpatient_General_Surgical_Cases+OP_WKL_Outpatient_Surgery)&lt;G42),
       0,
       H42+IF((IP_WKL_No_of_Inpatient_General_Surgical_Cases+OP_WKL_Outpatient_Surgery)&lt;=800,
                      0,(IP_WKL_No_of_Inpatient_General_Surgical_Cases+OP_WKL_Outpatient_Surgery-K42)/J42*L42))</f>
        <v>0</v>
      </c>
      <c r="N42" s="1753"/>
      <c r="O42" s="179"/>
      <c r="P42" s="989" t="s">
        <v>258</v>
      </c>
      <c r="Q42" s="1006"/>
      <c r="R42" s="214"/>
      <c r="S42" s="214"/>
      <c r="T42" s="214"/>
      <c r="U42" s="214"/>
      <c r="V42" s="214"/>
    </row>
    <row r="43" spans="1:22" s="183" customFormat="1" ht="19.5" customHeight="1">
      <c r="A43" s="1043">
        <v>25</v>
      </c>
      <c r="B43" s="199"/>
      <c r="C43" s="267"/>
      <c r="D43" s="276" t="s">
        <v>202</v>
      </c>
      <c r="E43" s="277" t="s">
        <v>200</v>
      </c>
      <c r="F43" s="278">
        <v>1</v>
      </c>
      <c r="G43" s="180">
        <v>450</v>
      </c>
      <c r="H43" s="254">
        <v>1.6</v>
      </c>
      <c r="I43" s="275" t="s">
        <v>201</v>
      </c>
      <c r="J43" s="254">
        <v>200</v>
      </c>
      <c r="K43" s="255">
        <v>800</v>
      </c>
      <c r="L43" s="254">
        <v>1</v>
      </c>
      <c r="M43" s="274">
        <f>IF(OR(NOT(HOSPITAL),(IP_WKL_No_of_Inpatient_General_Surgical_Cases+OP_WKL_Outpatient_Surgery)&lt;G43),0,H43+IF((IP_WKL_No_of_Inpatient_General_Surgical_Cases)&lt;=800,0,(IP_WKL_No_of_Inpatient_General_Surgical_Cases-K43)/J43*L43))</f>
        <v>0</v>
      </c>
      <c r="N43" s="1753"/>
      <c r="O43" s="179"/>
      <c r="P43" s="987"/>
      <c r="Q43" s="1006"/>
      <c r="R43" s="214"/>
      <c r="S43" s="214"/>
      <c r="T43" s="214"/>
      <c r="U43" s="214"/>
      <c r="V43" s="214"/>
    </row>
    <row r="44" spans="1:22" s="183" customFormat="1" ht="19.5" customHeight="1">
      <c r="A44" s="1043">
        <v>26</v>
      </c>
      <c r="B44" s="199"/>
      <c r="C44" s="267"/>
      <c r="D44" s="276" t="s">
        <v>203</v>
      </c>
      <c r="E44" s="277" t="s">
        <v>80</v>
      </c>
      <c r="F44" s="278">
        <v>1</v>
      </c>
      <c r="G44" s="180">
        <v>450</v>
      </c>
      <c r="H44" s="254">
        <v>1</v>
      </c>
      <c r="I44" s="255" t="s">
        <v>174</v>
      </c>
      <c r="J44" s="254">
        <v>600</v>
      </c>
      <c r="K44" s="255">
        <v>600</v>
      </c>
      <c r="L44" s="254">
        <v>1</v>
      </c>
      <c r="M44" s="256">
        <f>IF((IP_WKL_No_of_Inpatient_General_Surgical_Cases+OP_WKL_Outpatient_Surgery)&gt;G44,
       H44,
       0)
+
  IF((IP_WKL_No_of_Inpatient_General_Surgical_Cases+OP_WKL_Outpatient_Surgery)&lt;K44,
       0,
       (IP_WKL_No_of_Inpatient_General_Surgical_Cases+OP_WKL_Outpatient_Surgery-K44))/J44*L44</f>
        <v>0</v>
      </c>
      <c r="N44" s="1753"/>
      <c r="O44" s="179"/>
      <c r="P44" s="987"/>
      <c r="Q44" s="1006"/>
      <c r="R44" s="214"/>
      <c r="S44" s="214"/>
      <c r="T44" s="214"/>
      <c r="U44" s="214"/>
      <c r="V44" s="214"/>
    </row>
    <row r="45" spans="1:22" s="183" customFormat="1" ht="19.5" customHeight="1">
      <c r="A45" s="1043">
        <v>27</v>
      </c>
      <c r="B45" s="199"/>
      <c r="C45" s="267"/>
      <c r="D45" s="276" t="s">
        <v>204</v>
      </c>
      <c r="E45" s="282" t="s">
        <v>205</v>
      </c>
      <c r="F45" s="278">
        <v>1</v>
      </c>
      <c r="G45" s="180">
        <v>350</v>
      </c>
      <c r="H45" s="254">
        <v>3</v>
      </c>
      <c r="I45" s="254"/>
      <c r="J45" s="254"/>
      <c r="K45" s="283">
        <v>300</v>
      </c>
      <c r="L45" s="254">
        <v>1.33</v>
      </c>
      <c r="M45" s="256">
        <f>IF((OP_WKL_Outpatient_Surgery)&gt;G45,
       H45 + (L45/K45)*(OP_WKL_Outpatient_Surgery-G45),
       0)</f>
        <v>0</v>
      </c>
      <c r="N45" s="1753"/>
      <c r="O45" s="179"/>
      <c r="P45" s="987"/>
      <c r="Q45" s="1006"/>
      <c r="R45" s="214"/>
      <c r="S45" s="214"/>
      <c r="T45" s="214"/>
      <c r="U45" s="214"/>
      <c r="V45" s="214"/>
    </row>
    <row r="46" spans="1:22" s="183" customFormat="1" ht="19.5" customHeight="1">
      <c r="A46" s="1043">
        <v>28</v>
      </c>
      <c r="B46" s="199"/>
      <c r="C46" s="267"/>
      <c r="D46" s="183" t="s">
        <v>206</v>
      </c>
      <c r="E46" s="284" t="s">
        <v>207</v>
      </c>
      <c r="F46" s="228">
        <v>1</v>
      </c>
      <c r="G46" s="229"/>
      <c r="H46" s="228">
        <v>7</v>
      </c>
      <c r="I46" s="189" t="s">
        <v>181</v>
      </c>
      <c r="J46" s="181">
        <v>1</v>
      </c>
      <c r="K46" s="180">
        <v>10</v>
      </c>
      <c r="L46" s="181">
        <v>0.7</v>
      </c>
      <c r="M46" s="285">
        <f>IF('Inpatient Workload'!E22&lt;=0,0,IF(HOSPITAL,H46,0))+IF(HOSPITAL,IF('Inpatient Workload'!E22/365&lt;=K46,0,('Inpatient Workload'!H22-K46)/J46*L46),0)</f>
        <v>0</v>
      </c>
      <c r="N46" s="1753"/>
      <c r="O46" s="179"/>
      <c r="P46" s="987"/>
      <c r="Q46" s="1006"/>
      <c r="R46" s="214"/>
      <c r="S46" s="214"/>
      <c r="T46" s="214"/>
      <c r="U46" s="214"/>
      <c r="V46" s="214"/>
    </row>
    <row r="47" spans="1:22" s="183" customFormat="1" ht="19.5" customHeight="1">
      <c r="A47" s="1043">
        <v>29</v>
      </c>
      <c r="B47" s="199"/>
      <c r="C47" s="267"/>
      <c r="D47" s="268" t="s">
        <v>208</v>
      </c>
      <c r="E47" s="273" t="s">
        <v>207</v>
      </c>
      <c r="F47" s="254">
        <v>1</v>
      </c>
      <c r="G47" s="255"/>
      <c r="H47" s="254">
        <v>2.4</v>
      </c>
      <c r="I47" s="275" t="s">
        <v>181</v>
      </c>
      <c r="J47" s="254">
        <v>1</v>
      </c>
      <c r="K47" s="255">
        <v>10</v>
      </c>
      <c r="L47" s="254">
        <v>0.18</v>
      </c>
      <c r="M47" s="285">
        <f>IF(IP_WKL_Psychiatric&lt;=0,0,IF(HOSPITAL,H47,0))+IF(HOSPITAL,IF(IP_WKL_Psychiatric/365&lt;=K47,0,('Inpatient Workload'!H22-K47)/J47*L47),0)</f>
        <v>0</v>
      </c>
      <c r="N47" s="1753"/>
      <c r="O47" s="179"/>
      <c r="P47" s="987"/>
      <c r="Q47" s="1006"/>
      <c r="R47" s="214"/>
      <c r="S47" s="214"/>
      <c r="T47" s="214"/>
      <c r="U47" s="214"/>
      <c r="V47" s="214"/>
    </row>
    <row r="48" spans="1:22" s="183" customFormat="1" ht="19.5" customHeight="1">
      <c r="A48" s="1043">
        <v>30</v>
      </c>
      <c r="B48" s="199"/>
      <c r="C48" s="267"/>
      <c r="D48" s="183" t="s">
        <v>209</v>
      </c>
      <c r="E48" s="284" t="s">
        <v>207</v>
      </c>
      <c r="F48" s="228">
        <v>1</v>
      </c>
      <c r="G48" s="229"/>
      <c r="H48" s="228">
        <v>1</v>
      </c>
      <c r="I48" s="227" t="s">
        <v>181</v>
      </c>
      <c r="J48" s="228">
        <v>1</v>
      </c>
      <c r="K48" s="229">
        <v>10</v>
      </c>
      <c r="L48" s="228">
        <v>0.1</v>
      </c>
      <c r="M48" s="285">
        <f>IF(IP_WKL_Psychiatric&lt;=0,0,IF(HOSPITAL,H48,0))+IF(HOSPITAL,IF(IP_WKL_Psychiatric/365&lt;=K48,0,(IP_WKL_Psychiatric-K48)/J48*L48),0)</f>
        <v>0</v>
      </c>
      <c r="N48" s="1753"/>
      <c r="O48" s="179"/>
      <c r="P48" s="987"/>
      <c r="Q48" s="1006"/>
      <c r="R48" s="214"/>
      <c r="S48" s="214"/>
      <c r="T48" s="214"/>
      <c r="U48" s="214"/>
      <c r="V48" s="214"/>
    </row>
    <row r="49" spans="1:22" s="183" customFormat="1" ht="19.5" customHeight="1">
      <c r="A49" s="1043">
        <v>404</v>
      </c>
      <c r="B49" s="199"/>
      <c r="C49" s="267"/>
      <c r="D49" s="268" t="s">
        <v>699</v>
      </c>
      <c r="E49" s="273" t="s">
        <v>700</v>
      </c>
      <c r="F49" s="254">
        <v>1</v>
      </c>
      <c r="G49" s="255">
        <v>4</v>
      </c>
      <c r="H49" s="254"/>
      <c r="I49" s="275" t="s">
        <v>181</v>
      </c>
      <c r="J49" s="254">
        <v>1</v>
      </c>
      <c r="K49" s="255">
        <v>10</v>
      </c>
      <c r="L49" s="254">
        <v>0.4</v>
      </c>
      <c r="M49" s="274">
        <f>IF(OR(NOT(HOSPITAL),AND(NOT(ISREMOTE),NOT(MeetsInpatientThreshold)),AND(ISREMOTE,NOT(MeetsRuralInpatientThreshold))),
      0,
      F49*G49 + IF(ADPL&gt;K49,(L49/J49)*(ADPL-K49),0))</f>
        <v>0</v>
      </c>
      <c r="N49" s="1753"/>
      <c r="O49" s="179"/>
      <c r="P49" s="987"/>
      <c r="Q49" s="1006"/>
      <c r="R49" s="214"/>
      <c r="S49" s="214"/>
      <c r="T49" s="214"/>
      <c r="U49" s="214"/>
      <c r="V49" s="214"/>
    </row>
    <row r="50" spans="1:22" s="183" customFormat="1" ht="19.5" customHeight="1">
      <c r="A50" s="1043">
        <v>405</v>
      </c>
      <c r="B50" s="199"/>
      <c r="C50" s="267"/>
      <c r="D50" s="268" t="s">
        <v>701</v>
      </c>
      <c r="E50" s="273" t="s">
        <v>700</v>
      </c>
      <c r="F50" s="254">
        <v>1</v>
      </c>
      <c r="G50" s="255">
        <v>0.25</v>
      </c>
      <c r="H50" s="254"/>
      <c r="I50" s="275" t="s">
        <v>181</v>
      </c>
      <c r="J50" s="254">
        <v>1</v>
      </c>
      <c r="K50" s="255">
        <v>10</v>
      </c>
      <c r="L50" s="254">
        <v>0.25</v>
      </c>
      <c r="M50" s="274">
        <f>IF(OR(NOT(HOSPITAL),AND(NOT(ISREMOTE),NOT(MeetsInpatientThreshold)),AND(ISREMOTE,NOT(MeetsRuralInpatientThreshold))),
      0,
      F50*G50 + IF(ADPL&gt;K50,(L50/J50)*(ADPL-K50),0))</f>
        <v>0</v>
      </c>
      <c r="N50" s="1753"/>
      <c r="O50" s="179"/>
      <c r="P50" s="989" t="s">
        <v>361</v>
      </c>
      <c r="Q50" s="1006"/>
      <c r="R50" s="214"/>
      <c r="S50" s="214"/>
      <c r="T50" s="214"/>
      <c r="U50" s="214"/>
      <c r="V50" s="214"/>
    </row>
    <row r="51" spans="1:22" s="183" customFormat="1" ht="19.5" customHeight="1">
      <c r="A51" s="1043">
        <v>406</v>
      </c>
      <c r="B51" s="199"/>
      <c r="C51" s="267"/>
      <c r="D51" s="268" t="s">
        <v>698</v>
      </c>
      <c r="E51" s="273" t="s">
        <v>179</v>
      </c>
      <c r="F51" s="254">
        <v>1</v>
      </c>
      <c r="G51" s="255">
        <v>0.5</v>
      </c>
      <c r="H51" s="254"/>
      <c r="I51" s="275" t="s">
        <v>181</v>
      </c>
      <c r="J51" s="254">
        <v>1</v>
      </c>
      <c r="K51" s="255">
        <v>10</v>
      </c>
      <c r="L51" s="254">
        <v>0.3</v>
      </c>
      <c r="M51" s="274">
        <f>IF(OR(NOT(HOSPITAL),AND(NOT(ISREMOTE),NOT(MeetsInpatientThreshold)),AND(ISREMOTE,NOT(MeetsRuralInpatientThreshold))),
      0,
      F51*G51 + IF(ADPL&gt;K51,(L51/J51)*(ADPL-K51),0))</f>
        <v>0</v>
      </c>
      <c r="N51" s="1753"/>
      <c r="O51" s="179"/>
      <c r="P51" s="987"/>
      <c r="Q51" s="1006"/>
      <c r="R51" s="214"/>
      <c r="S51" s="214"/>
      <c r="T51" s="214"/>
      <c r="U51" s="214"/>
      <c r="V51" s="214"/>
    </row>
    <row r="52" spans="1:22" s="183" customFormat="1" ht="19.5" customHeight="1">
      <c r="A52" s="1043">
        <v>224</v>
      </c>
      <c r="B52" s="199"/>
      <c r="C52" s="267"/>
      <c r="D52" s="268" t="s">
        <v>210</v>
      </c>
      <c r="E52" s="275" t="s">
        <v>157</v>
      </c>
      <c r="F52" s="254">
        <v>2</v>
      </c>
      <c r="G52" s="229"/>
      <c r="H52" s="254"/>
      <c r="I52" s="254" t="s">
        <v>57</v>
      </c>
      <c r="J52" s="254">
        <v>1</v>
      </c>
      <c r="K52" s="603">
        <v>125</v>
      </c>
      <c r="L52" s="254"/>
      <c r="M52" s="274">
        <f>IF(OR(ERLevel=1,NOT(HOSPITAL),IP_WKL_Projected_No_Deliveries&lt;G36,AND(NOT(ISREMOTE),NOT(MeetsInpatientThreshold)),AND(ISREMOTE,NOT(MeetsRuralInpatientThreshold))),
       0,
      J52+F52)</f>
        <v>0</v>
      </c>
      <c r="N52" s="1753"/>
      <c r="O52" s="179"/>
      <c r="P52" s="987"/>
      <c r="Q52" s="1006"/>
      <c r="R52" s="214"/>
      <c r="S52" s="214"/>
      <c r="T52" s="214"/>
      <c r="U52" s="214"/>
      <c r="V52" s="214"/>
    </row>
    <row r="53" spans="1:22" s="183" customFormat="1" ht="19.5" customHeight="1">
      <c r="A53" s="1781">
        <v>407</v>
      </c>
      <c r="B53" s="199"/>
      <c r="C53" s="267"/>
      <c r="D53" s="268" t="s">
        <v>684</v>
      </c>
      <c r="E53" s="273" t="s">
        <v>690</v>
      </c>
      <c r="F53" s="254">
        <v>4</v>
      </c>
      <c r="G53" s="254">
        <v>6.9989999999999997</v>
      </c>
      <c r="H53" s="254">
        <v>0.5</v>
      </c>
      <c r="I53" s="273" t="s">
        <v>689</v>
      </c>
      <c r="J53" s="254">
        <v>7</v>
      </c>
      <c r="K53" s="254">
        <v>10</v>
      </c>
      <c r="L53" s="254">
        <v>1</v>
      </c>
      <c r="M53" s="256">
        <f>AND(ALTRURAL,ADPL&lt;=10,ADPL&gt;=4)*((H53*AND(ADPL&gt;=F53,ADPL&lt;=G53))+(L53*AND(ADPL&gt;=J53,ADPL&lt;=K53)))</f>
        <v>0</v>
      </c>
      <c r="N53" s="1753"/>
      <c r="O53" s="179"/>
      <c r="P53" s="987"/>
      <c r="Q53" s="1006"/>
      <c r="R53" s="214"/>
      <c r="S53" s="214"/>
      <c r="T53" s="214"/>
      <c r="U53" s="214"/>
      <c r="V53" s="214"/>
    </row>
    <row r="54" spans="1:22" s="183" customFormat="1" ht="19.5" customHeight="1">
      <c r="A54" s="1781">
        <v>408</v>
      </c>
      <c r="B54" s="199"/>
      <c r="C54" s="267"/>
      <c r="D54" s="268" t="s">
        <v>685</v>
      </c>
      <c r="E54" s="273" t="s">
        <v>690</v>
      </c>
      <c r="F54" s="254">
        <v>5</v>
      </c>
      <c r="G54" s="229">
        <v>1</v>
      </c>
      <c r="H54" s="254">
        <v>0.3</v>
      </c>
      <c r="I54" s="254"/>
      <c r="J54" s="254"/>
      <c r="K54" s="254"/>
      <c r="L54" s="254"/>
      <c r="M54" s="256">
        <f>AND(ALTRURAL,ADPL&lt;=10,ADPL&gt;=4)*(F54+ADPL*G54*H54)</f>
        <v>0</v>
      </c>
      <c r="N54" s="1753"/>
      <c r="O54" s="179"/>
      <c r="P54" s="987"/>
      <c r="Q54" s="1006"/>
      <c r="R54" s="214"/>
      <c r="S54" s="214"/>
      <c r="T54" s="214"/>
      <c r="U54" s="214"/>
      <c r="V54" s="214"/>
    </row>
    <row r="55" spans="1:22" s="183" customFormat="1" ht="19.5" customHeight="1">
      <c r="A55" s="1781">
        <v>409</v>
      </c>
      <c r="B55" s="199"/>
      <c r="C55" s="267"/>
      <c r="D55" s="268" t="s">
        <v>686</v>
      </c>
      <c r="E55" s="273" t="s">
        <v>690</v>
      </c>
      <c r="F55" s="254">
        <v>1</v>
      </c>
      <c r="G55" s="229">
        <v>1</v>
      </c>
      <c r="H55" s="254">
        <v>0.16</v>
      </c>
      <c r="I55" s="254"/>
      <c r="J55" s="254"/>
      <c r="K55" s="254"/>
      <c r="L55" s="254"/>
      <c r="M55" s="256">
        <f>AND(ALTRURAL,ADPL&lt;=10,ADPL&gt;=4)*(F55+ADPL*G55*H55)</f>
        <v>0</v>
      </c>
      <c r="N55" s="1753"/>
      <c r="O55" s="179"/>
      <c r="P55" s="987"/>
      <c r="Q55" s="1006"/>
      <c r="R55" s="214"/>
      <c r="S55" s="214"/>
      <c r="T55" s="214"/>
      <c r="U55" s="214"/>
      <c r="V55" s="214"/>
    </row>
    <row r="56" spans="1:22" s="183" customFormat="1" ht="19.5" customHeight="1">
      <c r="A56" s="1781">
        <v>410</v>
      </c>
      <c r="B56" s="199"/>
      <c r="C56" s="267"/>
      <c r="D56" s="268" t="s">
        <v>687</v>
      </c>
      <c r="E56" s="273" t="s">
        <v>690</v>
      </c>
      <c r="F56" s="254">
        <v>0</v>
      </c>
      <c r="G56" s="229">
        <v>1</v>
      </c>
      <c r="H56" s="254">
        <v>0.16</v>
      </c>
      <c r="I56" s="254"/>
      <c r="J56" s="254"/>
      <c r="K56" s="254"/>
      <c r="L56" s="254"/>
      <c r="M56" s="256">
        <f>AND(ALTRURAL,ADPL&lt;=10,ADPL&gt;=4)*(F56+ADPL*G56*H56)</f>
        <v>0</v>
      </c>
      <c r="N56" s="1753"/>
      <c r="O56" s="179"/>
      <c r="P56" s="987"/>
      <c r="Q56" s="1006"/>
      <c r="R56" s="214"/>
      <c r="S56" s="214"/>
      <c r="T56" s="214"/>
      <c r="U56" s="214"/>
      <c r="V56" s="214"/>
    </row>
    <row r="57" spans="1:22" s="183" customFormat="1" ht="19.5" customHeight="1">
      <c r="A57" s="1781">
        <v>411</v>
      </c>
      <c r="B57" s="199"/>
      <c r="C57" s="267"/>
      <c r="D57" s="268" t="s">
        <v>688</v>
      </c>
      <c r="E57" s="273" t="s">
        <v>690</v>
      </c>
      <c r="F57" s="254">
        <v>4</v>
      </c>
      <c r="G57" s="254">
        <v>6.9989999999999997</v>
      </c>
      <c r="H57" s="254">
        <v>0.5</v>
      </c>
      <c r="I57" s="273" t="s">
        <v>689</v>
      </c>
      <c r="J57" s="254">
        <v>7</v>
      </c>
      <c r="K57" s="254">
        <v>10</v>
      </c>
      <c r="L57" s="254">
        <v>1</v>
      </c>
      <c r="M57" s="256">
        <f>AND(ALTRURAL,ADPL&lt;=10,ADPL&gt;=4)*((H57*AND(ADPL&gt;=F57,ADPL&lt;G57))+(L57*AND(ADPL&gt;=J57,ADPL&lt;=K57)))</f>
        <v>0</v>
      </c>
      <c r="N57" s="1753"/>
      <c r="O57" s="179"/>
      <c r="P57" s="987"/>
      <c r="Q57" s="1006"/>
      <c r="R57" s="214"/>
      <c r="S57" s="214"/>
      <c r="T57" s="214"/>
      <c r="U57" s="214"/>
      <c r="V57" s="214"/>
    </row>
    <row r="58" spans="1:22" s="183" customFormat="1" ht="19.5" customHeight="1">
      <c r="A58" s="1043"/>
      <c r="B58" s="199"/>
      <c r="C58" s="267"/>
      <c r="E58" s="287"/>
      <c r="F58" s="287"/>
      <c r="G58" s="287"/>
      <c r="H58" s="287"/>
      <c r="I58" s="288"/>
      <c r="J58" s="288"/>
      <c r="K58" s="288"/>
      <c r="L58" s="288"/>
      <c r="M58" s="286"/>
      <c r="N58" s="1753"/>
      <c r="O58" s="179"/>
      <c r="P58" s="991"/>
      <c r="Q58" s="1006"/>
      <c r="R58" s="214"/>
      <c r="S58" s="214"/>
      <c r="T58" s="214"/>
      <c r="U58" s="214"/>
      <c r="V58" s="214"/>
    </row>
    <row r="59" spans="1:22" s="183" customFormat="1" ht="19.5" customHeight="1" thickBot="1">
      <c r="A59" s="1043"/>
      <c r="B59" s="232"/>
      <c r="C59" s="289"/>
      <c r="D59" s="290"/>
      <c r="E59" s="262"/>
      <c r="F59" s="263"/>
      <c r="G59" s="263"/>
      <c r="H59" s="263"/>
      <c r="I59" s="263"/>
      <c r="J59" s="263"/>
      <c r="K59" s="263"/>
      <c r="L59" s="263"/>
      <c r="M59" s="596">
        <f>SUM(M26:M58)</f>
        <v>0</v>
      </c>
      <c r="N59" s="1760"/>
      <c r="O59" s="179"/>
      <c r="P59" s="992"/>
      <c r="Q59" s="1006"/>
      <c r="R59" s="214"/>
      <c r="S59" s="214"/>
      <c r="T59" s="214"/>
      <c r="U59" s="214"/>
      <c r="V59" s="214"/>
    </row>
    <row r="60" spans="1:22" s="183" customFormat="1" ht="19.5" customHeight="1">
      <c r="A60" s="1043"/>
      <c r="B60" s="291"/>
      <c r="C60" s="292" t="s">
        <v>1015</v>
      </c>
      <c r="D60" s="293"/>
      <c r="E60" s="243"/>
      <c r="F60" s="244"/>
      <c r="G60" s="244"/>
      <c r="H60" s="244"/>
      <c r="I60" s="244"/>
      <c r="J60" s="244"/>
      <c r="K60" s="244"/>
      <c r="L60" s="244"/>
      <c r="M60" s="244"/>
      <c r="N60" s="1755"/>
      <c r="O60" s="179"/>
      <c r="P60" s="991"/>
      <c r="Q60" s="1009"/>
      <c r="R60" s="214"/>
      <c r="S60" s="214"/>
      <c r="T60" s="214"/>
      <c r="U60" s="214"/>
      <c r="V60" s="214"/>
    </row>
    <row r="61" spans="1:22" s="183" customFormat="1" ht="19.5" customHeight="1">
      <c r="A61" s="1043"/>
      <c r="B61" s="294"/>
      <c r="C61" s="267"/>
      <c r="D61" s="295" t="s">
        <v>1009</v>
      </c>
      <c r="E61" s="296"/>
      <c r="F61" s="297"/>
      <c r="G61" s="298"/>
      <c r="H61" s="297"/>
      <c r="I61" s="297"/>
      <c r="J61" s="297"/>
      <c r="K61" s="297"/>
      <c r="L61" s="297"/>
      <c r="M61" s="299">
        <v>0</v>
      </c>
      <c r="N61" s="1761"/>
      <c r="O61" s="179"/>
      <c r="P61" s="991"/>
      <c r="Q61" s="1009"/>
      <c r="R61" s="214"/>
      <c r="S61" s="214"/>
      <c r="T61" s="214"/>
      <c r="U61" s="214"/>
      <c r="V61" s="214"/>
    </row>
    <row r="62" spans="1:22" s="198" customFormat="1" ht="19.5" customHeight="1">
      <c r="A62" s="407"/>
      <c r="B62" s="300"/>
      <c r="C62" s="301"/>
      <c r="D62" s="295" t="s">
        <v>722</v>
      </c>
      <c r="E62" s="302"/>
      <c r="F62" s="303"/>
      <c r="G62" s="302"/>
      <c r="H62" s="302"/>
      <c r="I62" s="302"/>
      <c r="J62" s="302"/>
      <c r="K62" s="302"/>
      <c r="L62" s="302"/>
      <c r="M62" s="304">
        <v>0</v>
      </c>
      <c r="N62" s="1762"/>
      <c r="O62" s="193"/>
      <c r="P62" s="993"/>
      <c r="Q62" s="1011"/>
      <c r="R62" s="214"/>
      <c r="S62" s="214"/>
      <c r="T62" s="214"/>
      <c r="U62" s="214"/>
      <c r="V62" s="214"/>
    </row>
    <row r="63" spans="1:22" s="183" customFormat="1" ht="19.5" customHeight="1">
      <c r="A63" s="1043"/>
      <c r="B63" s="199"/>
      <c r="C63" s="267"/>
      <c r="D63" s="295" t="s">
        <v>723</v>
      </c>
      <c r="E63" s="305"/>
      <c r="F63" s="306"/>
      <c r="G63" s="307"/>
      <c r="H63" s="308"/>
      <c r="I63" s="308"/>
      <c r="J63" s="308"/>
      <c r="K63" s="308"/>
      <c r="L63" s="308"/>
      <c r="M63" s="304">
        <v>0</v>
      </c>
      <c r="N63" s="1763"/>
      <c r="O63" s="179"/>
      <c r="P63" s="991"/>
      <c r="Q63" s="1012"/>
      <c r="R63" s="214"/>
      <c r="S63" s="214"/>
      <c r="T63" s="214"/>
      <c r="U63" s="214"/>
      <c r="V63" s="214"/>
    </row>
    <row r="64" spans="1:22" s="183" customFormat="1" ht="19.5" customHeight="1">
      <c r="A64" s="1043"/>
      <c r="B64" s="199"/>
      <c r="C64" s="267"/>
      <c r="D64" s="295" t="s">
        <v>724</v>
      </c>
      <c r="E64" s="305"/>
      <c r="F64" s="306"/>
      <c r="G64" s="307"/>
      <c r="H64" s="308"/>
      <c r="I64" s="308"/>
      <c r="J64" s="308"/>
      <c r="K64" s="1406"/>
      <c r="L64" s="308"/>
      <c r="M64" s="304">
        <v>0</v>
      </c>
      <c r="N64" s="1763"/>
      <c r="O64" s="179"/>
      <c r="P64" s="991"/>
      <c r="Q64" s="1013"/>
      <c r="R64" s="214"/>
      <c r="S64" s="214"/>
      <c r="T64" s="214"/>
      <c r="U64" s="214"/>
      <c r="V64" s="214"/>
    </row>
    <row r="65" spans="1:22" s="183" customFormat="1" ht="19.5" customHeight="1">
      <c r="A65" s="1043"/>
      <c r="B65" s="199"/>
      <c r="C65" s="267"/>
      <c r="D65" s="295" t="s">
        <v>725</v>
      </c>
      <c r="E65" s="305"/>
      <c r="F65" s="306"/>
      <c r="G65" s="307"/>
      <c r="H65" s="308"/>
      <c r="I65" s="308"/>
      <c r="J65" s="308"/>
      <c r="K65" s="308"/>
      <c r="L65" s="308"/>
      <c r="M65" s="304">
        <v>0</v>
      </c>
      <c r="N65" s="1763"/>
      <c r="O65" s="179"/>
      <c r="P65" s="991"/>
      <c r="Q65" s="1013"/>
      <c r="R65" s="214"/>
      <c r="S65" s="214"/>
      <c r="T65" s="214"/>
      <c r="U65" s="214"/>
      <c r="V65" s="214"/>
    </row>
    <row r="66" spans="1:22" s="183" customFormat="1" ht="19.5" customHeight="1">
      <c r="A66" s="1043"/>
      <c r="B66" s="199"/>
      <c r="C66" s="267"/>
      <c r="D66" s="295" t="s">
        <v>726</v>
      </c>
      <c r="E66" s="305"/>
      <c r="F66" s="306"/>
      <c r="G66" s="307"/>
      <c r="H66" s="308"/>
      <c r="I66" s="308"/>
      <c r="J66" s="308"/>
      <c r="K66" s="308"/>
      <c r="L66" s="308"/>
      <c r="M66" s="304">
        <v>0</v>
      </c>
      <c r="N66" s="1763"/>
      <c r="O66" s="179"/>
      <c r="P66" s="991"/>
      <c r="Q66" s="1013"/>
      <c r="R66" s="214"/>
      <c r="S66" s="214"/>
      <c r="T66" s="214"/>
      <c r="U66" s="214"/>
      <c r="V66" s="214"/>
    </row>
    <row r="67" spans="1:22" s="183" customFormat="1" ht="19.5" customHeight="1">
      <c r="A67" s="1043"/>
      <c r="B67" s="199"/>
      <c r="C67" s="229"/>
      <c r="D67" s="295" t="s">
        <v>727</v>
      </c>
      <c r="E67" s="307"/>
      <c r="F67" s="308"/>
      <c r="G67" s="307"/>
      <c r="H67" s="308"/>
      <c r="I67" s="308"/>
      <c r="J67" s="308"/>
      <c r="K67" s="308"/>
      <c r="L67" s="308"/>
      <c r="M67" s="304">
        <v>0</v>
      </c>
      <c r="N67" s="1763"/>
      <c r="O67" s="179"/>
      <c r="P67" s="992"/>
      <c r="Q67" s="1014"/>
      <c r="R67" s="214"/>
      <c r="S67" s="214"/>
      <c r="T67" s="214"/>
      <c r="U67" s="214"/>
      <c r="V67" s="214"/>
    </row>
    <row r="68" spans="1:22" s="183" customFormat="1" ht="19.5" customHeight="1">
      <c r="A68" s="1043"/>
      <c r="B68" s="199"/>
      <c r="D68" s="295" t="s">
        <v>728</v>
      </c>
      <c r="E68" s="307"/>
      <c r="F68" s="308"/>
      <c r="G68" s="307"/>
      <c r="H68" s="308"/>
      <c r="I68" s="308"/>
      <c r="J68" s="308"/>
      <c r="K68" s="308"/>
      <c r="L68" s="308"/>
      <c r="M68" s="304">
        <v>0</v>
      </c>
      <c r="N68" s="1763"/>
      <c r="O68" s="179"/>
      <c r="P68" s="992"/>
      <c r="Q68" s="1014"/>
      <c r="R68" s="214"/>
      <c r="S68" s="214"/>
      <c r="T68" s="214"/>
      <c r="U68" s="214"/>
      <c r="V68" s="214"/>
    </row>
    <row r="69" spans="1:22" s="183" customFormat="1" ht="19.5" customHeight="1">
      <c r="A69" s="1043"/>
      <c r="B69" s="199"/>
      <c r="D69" s="295" t="s">
        <v>729</v>
      </c>
      <c r="E69" s="309"/>
      <c r="F69" s="310"/>
      <c r="G69" s="309"/>
      <c r="H69" s="310"/>
      <c r="I69" s="310"/>
      <c r="J69" s="310"/>
      <c r="K69" s="310"/>
      <c r="L69" s="310"/>
      <c r="M69" s="304">
        <v>0</v>
      </c>
      <c r="N69" s="1764"/>
      <c r="O69" s="179"/>
      <c r="P69" s="992"/>
      <c r="Q69" s="1014"/>
      <c r="R69" s="214"/>
      <c r="S69" s="214"/>
      <c r="T69" s="214"/>
      <c r="U69" s="214"/>
      <c r="V69" s="214"/>
    </row>
    <row r="70" spans="1:22" s="183" customFormat="1" ht="19.5" customHeight="1" thickBot="1">
      <c r="A70" s="1043"/>
      <c r="B70" s="232"/>
      <c r="C70" s="234"/>
      <c r="D70" s="290"/>
      <c r="E70" s="311"/>
      <c r="F70" s="312"/>
      <c r="G70" s="312"/>
      <c r="H70" s="312"/>
      <c r="I70" s="312"/>
      <c r="J70" s="312"/>
      <c r="K70" s="312"/>
      <c r="L70" s="312"/>
      <c r="M70" s="597">
        <f>SUM(M61:M69)</f>
        <v>0</v>
      </c>
      <c r="N70" s="1765"/>
      <c r="O70" s="179"/>
      <c r="P70" s="992"/>
      <c r="Q70" s="1014"/>
      <c r="R70" s="214"/>
      <c r="S70" s="214"/>
      <c r="T70" s="214"/>
      <c r="U70" s="214"/>
      <c r="V70" s="214"/>
    </row>
    <row r="71" spans="1:22" s="183" customFormat="1" ht="19.5" customHeight="1">
      <c r="A71" s="325"/>
      <c r="B71" s="314"/>
      <c r="C71" s="314"/>
      <c r="D71" s="314"/>
      <c r="E71" s="314"/>
      <c r="F71" s="315"/>
      <c r="G71" s="315"/>
      <c r="H71" s="315"/>
      <c r="I71" s="315"/>
      <c r="J71" s="315"/>
      <c r="K71" s="315"/>
      <c r="L71" s="315"/>
      <c r="M71" s="315"/>
      <c r="N71" s="1766"/>
      <c r="O71" s="179"/>
      <c r="P71" s="992"/>
      <c r="Q71" s="1014"/>
      <c r="R71" s="214"/>
      <c r="S71" s="214"/>
      <c r="T71" s="214"/>
      <c r="U71" s="214"/>
      <c r="V71" s="214"/>
    </row>
    <row r="72" spans="1:22" s="183" customFormat="1" ht="19.5" customHeight="1" thickBot="1">
      <c r="A72" s="316"/>
      <c r="B72" s="316"/>
      <c r="C72" s="316"/>
      <c r="D72" s="316"/>
      <c r="E72" s="316"/>
      <c r="F72" s="316"/>
      <c r="G72" s="317"/>
      <c r="H72" s="316"/>
      <c r="I72" s="316"/>
      <c r="J72" s="316"/>
      <c r="K72" s="318" t="s">
        <v>211</v>
      </c>
      <c r="L72" s="319"/>
      <c r="M72" s="592">
        <f>M18+M24+M59+M70</f>
        <v>0</v>
      </c>
      <c r="N72" s="1767"/>
      <c r="O72" s="179"/>
      <c r="P72" s="992"/>
      <c r="Q72" s="1014"/>
      <c r="R72" s="214"/>
      <c r="S72" s="214"/>
      <c r="T72" s="214"/>
      <c r="U72" s="214"/>
      <c r="V72" s="214"/>
    </row>
    <row r="73" spans="1:22" s="183" customFormat="1" ht="19.5" customHeight="1" thickBot="1">
      <c r="A73" s="1043"/>
      <c r="B73" s="320"/>
      <c r="C73" s="321"/>
      <c r="D73" s="321"/>
      <c r="E73" s="321"/>
      <c r="F73" s="321"/>
      <c r="G73" s="321"/>
      <c r="H73" s="321"/>
      <c r="I73" s="321"/>
      <c r="J73" s="321"/>
      <c r="K73" s="321"/>
      <c r="L73" s="321"/>
      <c r="M73" s="321"/>
      <c r="N73" s="1768"/>
      <c r="O73" s="179"/>
      <c r="P73" s="992"/>
      <c r="Q73" s="1014"/>
      <c r="R73" s="214"/>
      <c r="S73" s="214"/>
      <c r="T73" s="214"/>
      <c r="U73" s="214"/>
      <c r="V73" s="214"/>
    </row>
    <row r="74" spans="1:22" s="198" customFormat="1" ht="19.5" customHeight="1" thickBot="1">
      <c r="A74" s="407"/>
      <c r="B74" s="322" t="s">
        <v>212</v>
      </c>
      <c r="C74" s="323"/>
      <c r="D74" s="324"/>
      <c r="E74" s="325"/>
      <c r="F74" s="316"/>
      <c r="G74" s="316"/>
      <c r="H74" s="316"/>
      <c r="I74" s="316"/>
      <c r="J74" s="316"/>
      <c r="K74" s="316"/>
      <c r="L74" s="316"/>
      <c r="M74" s="316"/>
      <c r="N74" s="1767"/>
      <c r="O74" s="193"/>
      <c r="P74" s="993"/>
      <c r="Q74" s="1015"/>
      <c r="R74" s="214"/>
      <c r="S74" s="214"/>
      <c r="T74" s="214"/>
      <c r="U74" s="214"/>
      <c r="V74" s="214"/>
    </row>
    <row r="75" spans="1:22" s="198" customFormat="1" ht="19.5" customHeight="1">
      <c r="A75" s="407"/>
      <c r="B75" s="221"/>
      <c r="C75" s="222" t="s">
        <v>213</v>
      </c>
      <c r="D75" s="242"/>
      <c r="E75" s="243"/>
      <c r="F75" s="244"/>
      <c r="G75" s="244"/>
      <c r="H75" s="244"/>
      <c r="I75" s="244"/>
      <c r="J75" s="244"/>
      <c r="K75" s="244"/>
      <c r="L75" s="244"/>
      <c r="M75" s="244"/>
      <c r="N75" s="1755"/>
      <c r="O75" s="193"/>
      <c r="P75" s="993"/>
      <c r="Q75" s="1015"/>
      <c r="R75" s="214"/>
      <c r="S75" s="214"/>
      <c r="T75" s="214"/>
      <c r="U75" s="214"/>
      <c r="V75" s="214"/>
    </row>
    <row r="76" spans="1:22" s="183" customFormat="1" ht="19.5" customHeight="1">
      <c r="A76" s="1043">
        <v>59</v>
      </c>
      <c r="B76" s="199"/>
      <c r="D76" s="183" t="s">
        <v>587</v>
      </c>
      <c r="E76" s="248" t="s">
        <v>181</v>
      </c>
      <c r="F76" s="326">
        <v>33</v>
      </c>
      <c r="G76" s="248">
        <v>33</v>
      </c>
      <c r="H76" s="247">
        <v>1</v>
      </c>
      <c r="I76" s="247" t="s">
        <v>179</v>
      </c>
      <c r="J76" s="247">
        <v>1</v>
      </c>
      <c r="K76" s="247">
        <v>2</v>
      </c>
      <c r="L76" s="247">
        <v>1</v>
      </c>
      <c r="M76" s="249">
        <f>IF(NOT(HOSPITAL),IF(ALTRURAL,K76,0),IF(ADPL&lt;=F76,L76,L76+(ADPL-G76)/F76*H76))</f>
        <v>0</v>
      </c>
      <c r="N76" s="1761"/>
      <c r="O76" s="327"/>
      <c r="P76" s="987"/>
      <c r="Q76" s="1003"/>
      <c r="R76" s="214"/>
      <c r="S76" s="214"/>
      <c r="T76" s="214"/>
      <c r="U76" s="214"/>
      <c r="V76" s="214"/>
    </row>
    <row r="77" spans="1:22" s="183" customFormat="1" ht="19.5" customHeight="1">
      <c r="A77" s="1043">
        <v>61</v>
      </c>
      <c r="B77" s="199"/>
      <c r="D77" s="183" t="s">
        <v>214</v>
      </c>
      <c r="E77" s="229" t="s">
        <v>215</v>
      </c>
      <c r="F77" s="328">
        <f>R77</f>
        <v>0</v>
      </c>
      <c r="G77" s="229"/>
      <c r="H77" s="228">
        <v>0.25</v>
      </c>
      <c r="I77" s="284" t="s">
        <v>216</v>
      </c>
      <c r="J77" s="329">
        <v>33</v>
      </c>
      <c r="K77" s="229">
        <v>33</v>
      </c>
      <c r="L77" s="228">
        <v>0.5</v>
      </c>
      <c r="M77" s="330">
        <f>IF(NOT(HOSPITAL),0,IF(ADPL&lt;=K77,H77,H77+L77*(ADPL-K77)/J77))</f>
        <v>0</v>
      </c>
      <c r="N77" s="1763"/>
      <c r="O77" s="327"/>
      <c r="P77" s="987"/>
      <c r="Q77" s="1003"/>
      <c r="R77" s="214"/>
      <c r="S77" s="214"/>
      <c r="T77" s="214"/>
      <c r="U77" s="214"/>
      <c r="V77" s="214"/>
    </row>
    <row r="78" spans="1:22" s="183" customFormat="1" ht="19.5" customHeight="1">
      <c r="A78" s="1043">
        <v>60</v>
      </c>
      <c r="B78" s="199"/>
      <c r="D78" s="331" t="s">
        <v>217</v>
      </c>
      <c r="E78" s="332" t="s">
        <v>218</v>
      </c>
      <c r="F78" s="333">
        <v>30000</v>
      </c>
      <c r="G78" s="332"/>
      <c r="H78" s="334">
        <v>1</v>
      </c>
      <c r="I78" s="335"/>
      <c r="J78" s="336"/>
      <c r="K78" s="332"/>
      <c r="L78" s="334"/>
      <c r="M78" s="337">
        <f>CHP/F78*H78</f>
        <v>0</v>
      </c>
      <c r="N78" s="1763"/>
      <c r="O78" s="327"/>
      <c r="P78" s="987"/>
      <c r="Q78" s="1003"/>
      <c r="R78" s="214"/>
      <c r="S78" s="214"/>
      <c r="T78" s="214"/>
      <c r="U78" s="214"/>
      <c r="V78" s="214"/>
    </row>
    <row r="79" spans="1:22" s="183" customFormat="1" ht="19.5" customHeight="1">
      <c r="A79" s="1043"/>
      <c r="B79" s="199"/>
      <c r="D79" s="183" t="s">
        <v>219</v>
      </c>
      <c r="E79" s="227" t="s">
        <v>157</v>
      </c>
      <c r="F79" s="228">
        <f>R79</f>
        <v>0</v>
      </c>
      <c r="G79" s="338"/>
      <c r="H79" s="228">
        <v>1</v>
      </c>
      <c r="I79" s="229" t="s">
        <v>220</v>
      </c>
      <c r="J79" s="328">
        <v>7874</v>
      </c>
      <c r="K79" s="229">
        <v>15748</v>
      </c>
      <c r="L79" s="228">
        <v>0.5</v>
      </c>
      <c r="M79" s="230">
        <f>IF(PCPV&gt;=K79,H79+L79*(PCPV-K79)/J79,H79)*(FAC_INFO_FAC_TYPE&lt;&gt;1)</f>
        <v>0</v>
      </c>
      <c r="N79" s="1763"/>
      <c r="O79" s="339"/>
      <c r="P79" s="987"/>
      <c r="Q79" s="1003"/>
      <c r="R79" s="214"/>
      <c r="S79" s="214"/>
      <c r="T79" s="214"/>
      <c r="U79" s="214"/>
      <c r="V79" s="214"/>
    </row>
    <row r="80" spans="1:22" s="183" customFormat="1" ht="19.5" customHeight="1" thickBot="1">
      <c r="A80" s="1043"/>
      <c r="B80" s="232"/>
      <c r="C80" s="234"/>
      <c r="D80" s="234" t="s">
        <v>221</v>
      </c>
      <c r="E80" s="237" t="s">
        <v>220</v>
      </c>
      <c r="F80" s="340">
        <v>7874</v>
      </c>
      <c r="G80" s="237"/>
      <c r="H80" s="236">
        <v>0.5</v>
      </c>
      <c r="I80" s="236"/>
      <c r="J80" s="236"/>
      <c r="K80" s="236"/>
      <c r="L80" s="236"/>
      <c r="M80" s="238">
        <f>PCPV*H80/F80</f>
        <v>0</v>
      </c>
      <c r="N80" s="1769"/>
      <c r="O80" s="341"/>
      <c r="P80" s="987"/>
      <c r="Q80" s="1003"/>
      <c r="R80" s="214"/>
      <c r="S80" s="214"/>
      <c r="T80" s="214"/>
      <c r="U80" s="214"/>
      <c r="V80" s="214"/>
    </row>
    <row r="81" spans="1:22" s="183" customFormat="1" ht="19.5" customHeight="1">
      <c r="A81" s="1043"/>
      <c r="B81" s="199"/>
      <c r="D81" s="183" t="s">
        <v>585</v>
      </c>
      <c r="E81" s="227" t="s">
        <v>586</v>
      </c>
      <c r="F81" s="228"/>
      <c r="G81" s="248">
        <v>1</v>
      </c>
      <c r="H81" s="228">
        <v>2</v>
      </c>
      <c r="I81" s="229"/>
      <c r="J81" s="328"/>
      <c r="K81" s="229"/>
      <c r="L81" s="228"/>
      <c r="M81" s="230">
        <f>IF(ERLevel-1=2,G81,IF(ERLevel-1=3,H81,0))</f>
        <v>0</v>
      </c>
      <c r="N81" s="1763"/>
      <c r="O81" s="339"/>
      <c r="P81" s="987"/>
      <c r="Q81" s="1003"/>
      <c r="R81" s="214"/>
      <c r="S81" s="214"/>
      <c r="T81" s="214"/>
      <c r="U81" s="214"/>
      <c r="V81" s="214"/>
    </row>
    <row r="82" spans="1:22" s="183" customFormat="1" ht="19.5" customHeight="1" thickBot="1">
      <c r="A82" s="1043"/>
      <c r="B82" s="239"/>
      <c r="C82" s="342"/>
      <c r="D82" s="241"/>
      <c r="E82" s="325"/>
      <c r="F82" s="316"/>
      <c r="G82" s="316"/>
      <c r="H82" s="316"/>
      <c r="I82" s="316"/>
      <c r="J82" s="316"/>
      <c r="K82" s="316"/>
      <c r="L82" s="316"/>
      <c r="M82" s="598">
        <f>SUM(M76:M81)</f>
        <v>0</v>
      </c>
      <c r="N82" s="1767"/>
      <c r="O82" s="341"/>
      <c r="P82" s="1088"/>
      <c r="Q82" s="1088" t="s">
        <v>753</v>
      </c>
      <c r="R82" s="1088"/>
      <c r="S82" s="1088" t="s">
        <v>4</v>
      </c>
      <c r="T82" s="1088"/>
      <c r="U82" s="1088"/>
      <c r="V82" s="1088"/>
    </row>
    <row r="83" spans="1:22" s="198" customFormat="1" ht="19.5" customHeight="1">
      <c r="A83" s="407"/>
      <c r="B83" s="221"/>
      <c r="C83" s="222" t="s">
        <v>222</v>
      </c>
      <c r="D83" s="242"/>
      <c r="E83" s="314"/>
      <c r="F83" s="315"/>
      <c r="G83" s="315"/>
      <c r="H83" s="315"/>
      <c r="I83" s="315"/>
      <c r="J83" s="315"/>
      <c r="K83" s="315"/>
      <c r="L83" s="315"/>
      <c r="M83" s="315"/>
      <c r="N83" s="1766"/>
      <c r="O83" s="193"/>
      <c r="P83" s="1088"/>
      <c r="Q83" s="1088" t="s">
        <v>754</v>
      </c>
      <c r="R83" s="1088" t="s">
        <v>752</v>
      </c>
      <c r="S83" s="1088" t="s">
        <v>754</v>
      </c>
      <c r="T83" s="1088" t="s">
        <v>752</v>
      </c>
      <c r="U83" s="1088" t="s">
        <v>755</v>
      </c>
      <c r="V83" s="1088" t="s">
        <v>756</v>
      </c>
    </row>
    <row r="84" spans="1:22" s="183" customFormat="1" ht="19.5" customHeight="1">
      <c r="A84" s="1043">
        <v>415</v>
      </c>
      <c r="B84" s="199"/>
      <c r="D84" s="183" t="s">
        <v>740</v>
      </c>
      <c r="E84" s="1120" t="s">
        <v>157</v>
      </c>
      <c r="F84" s="326"/>
      <c r="G84" s="248"/>
      <c r="H84" s="247">
        <v>1</v>
      </c>
      <c r="I84" s="377" t="s">
        <v>750</v>
      </c>
      <c r="J84" s="329"/>
      <c r="K84" s="229">
        <v>8</v>
      </c>
      <c r="L84" s="228">
        <v>1</v>
      </c>
      <c r="M84" s="1121">
        <f>((H84)+IF((M86+M88+M89+M95)&gt;K84,(M86+M88+M89+M95-K84)/K84,0)+((PharmExtHrs&gt;=K86)*L84))*(FAC_INFO_FAC_TYPE&lt;&gt;1)</f>
        <v>0</v>
      </c>
      <c r="N84" s="1761"/>
      <c r="O84" s="327"/>
      <c r="P84" s="1088" t="s">
        <v>751</v>
      </c>
      <c r="Q84" s="1127" t="s">
        <v>757</v>
      </c>
      <c r="R84" s="1127" t="s">
        <v>757</v>
      </c>
      <c r="S84" s="1127" t="s">
        <v>757</v>
      </c>
      <c r="T84" s="1127"/>
      <c r="U84" s="1127"/>
      <c r="V84" s="1127"/>
    </row>
    <row r="85" spans="1:22" s="183" customFormat="1" ht="19.5" customHeight="1">
      <c r="A85" s="1043">
        <v>414</v>
      </c>
      <c r="B85" s="199"/>
      <c r="D85" s="183" t="s">
        <v>746</v>
      </c>
      <c r="E85" s="1120" t="s">
        <v>747</v>
      </c>
      <c r="F85" s="326"/>
      <c r="G85" s="248">
        <v>1</v>
      </c>
      <c r="H85" s="247">
        <v>0</v>
      </c>
      <c r="I85" s="229" t="s">
        <v>220</v>
      </c>
      <c r="J85" s="329"/>
      <c r="K85" s="229">
        <v>4400</v>
      </c>
      <c r="L85" s="228">
        <v>1</v>
      </c>
      <c r="M85" s="1121">
        <f>(PCPV&gt;=K85)*G85</f>
        <v>0</v>
      </c>
      <c r="N85" s="1761"/>
      <c r="O85" s="327"/>
      <c r="P85" s="1088"/>
      <c r="Q85" s="1127"/>
      <c r="R85" s="1127"/>
      <c r="S85" s="1127"/>
      <c r="T85" s="1127"/>
      <c r="U85" s="1127"/>
      <c r="V85" s="1127"/>
    </row>
    <row r="86" spans="1:22" s="183" customFormat="1" ht="19.5" customHeight="1">
      <c r="A86" s="1043">
        <v>62</v>
      </c>
      <c r="B86" s="199"/>
      <c r="D86" s="183" t="s">
        <v>223</v>
      </c>
      <c r="E86" s="1126" t="s">
        <v>749</v>
      </c>
      <c r="F86" s="343"/>
      <c r="G86" s="248">
        <v>120</v>
      </c>
      <c r="H86" s="344">
        <v>1</v>
      </c>
      <c r="I86" s="1120" t="s">
        <v>748</v>
      </c>
      <c r="J86" s="326">
        <v>4</v>
      </c>
      <c r="K86" s="248">
        <v>8</v>
      </c>
      <c r="L86" s="247">
        <v>1</v>
      </c>
      <c r="M86" s="1125">
        <f>H86*Prescriptions/G86+L86*((PharmExtHrs&gt;=J86)+(PharmExtHrs&gt;=K86))</f>
        <v>0</v>
      </c>
      <c r="N86" s="1761"/>
      <c r="O86" s="327"/>
      <c r="P86" s="1088"/>
      <c r="Q86" s="1127"/>
      <c r="R86" s="1127"/>
      <c r="S86" s="1127"/>
      <c r="T86" s="1127"/>
      <c r="U86" s="1127"/>
      <c r="V86" s="1127"/>
    </row>
    <row r="87" spans="1:22" s="183" customFormat="1" ht="19.5" customHeight="1">
      <c r="A87" s="1043"/>
      <c r="B87" s="199"/>
      <c r="D87" s="183" t="s">
        <v>771</v>
      </c>
      <c r="E87" s="1126" t="s">
        <v>750</v>
      </c>
      <c r="F87" s="343"/>
      <c r="G87" s="248">
        <v>6</v>
      </c>
      <c r="H87" s="344">
        <v>1</v>
      </c>
      <c r="I87" s="1120"/>
      <c r="J87" s="326"/>
      <c r="K87" s="248"/>
      <c r="L87" s="247">
        <f>M86+M88+M89+M95</f>
        <v>0</v>
      </c>
      <c r="M87" s="1139">
        <f>IF((M86+M88+M89+M95)&gt;=G87,ROUNDDOWN((M86+M88+M89+M95)/G87,0),0)</f>
        <v>0</v>
      </c>
      <c r="N87" s="1761"/>
      <c r="O87" s="327"/>
      <c r="P87" s="1088"/>
      <c r="Q87" s="1127"/>
      <c r="R87" s="1127"/>
      <c r="S87" s="1127"/>
      <c r="T87" s="1127"/>
      <c r="U87" s="1127"/>
      <c r="V87" s="1127"/>
    </row>
    <row r="88" spans="1:22" s="183" customFormat="1" ht="19.5" customHeight="1">
      <c r="A88" s="1043"/>
      <c r="B88" s="199"/>
      <c r="D88" s="183" t="s">
        <v>770</v>
      </c>
      <c r="E88" s="1126" t="s">
        <v>749</v>
      </c>
      <c r="F88" s="343"/>
      <c r="G88" s="248">
        <v>16</v>
      </c>
      <c r="H88" s="344">
        <f>1</f>
        <v>1</v>
      </c>
      <c r="M88" s="1125">
        <f>(PharmDrivenVisits/G88)*H88</f>
        <v>0</v>
      </c>
      <c r="N88" s="1761"/>
      <c r="O88" s="327"/>
      <c r="P88" s="1088"/>
      <c r="Q88" s="1127"/>
      <c r="R88" s="1127"/>
      <c r="S88" s="1127"/>
      <c r="T88" s="1127"/>
      <c r="U88" s="1127"/>
      <c r="V88" s="1127"/>
    </row>
    <row r="89" spans="1:22" s="183" customFormat="1" ht="19.5" customHeight="1">
      <c r="A89" s="1043">
        <v>63</v>
      </c>
      <c r="B89" s="199"/>
      <c r="D89" s="345" t="s">
        <v>224</v>
      </c>
      <c r="E89" s="346" t="s">
        <v>218</v>
      </c>
      <c r="F89" s="347">
        <v>20000</v>
      </c>
      <c r="G89" s="346"/>
      <c r="H89" s="348">
        <v>1</v>
      </c>
      <c r="M89" s="1121">
        <f>IF(CHP&gt;=F89,CHP/F89*H89,0)</f>
        <v>0</v>
      </c>
      <c r="N89" s="1763"/>
      <c r="O89" s="327"/>
      <c r="P89" s="1088"/>
      <c r="Q89" s="1127"/>
      <c r="R89" s="1127"/>
      <c r="S89" s="1127"/>
      <c r="T89" s="1127"/>
      <c r="U89" s="1127"/>
      <c r="V89" s="1127"/>
    </row>
    <row r="90" spans="1:22" s="183" customFormat="1" ht="19.5" customHeight="1">
      <c r="A90" s="1043">
        <v>64</v>
      </c>
      <c r="B90" s="199"/>
      <c r="D90" s="345" t="s">
        <v>759</v>
      </c>
      <c r="E90" s="1126" t="s">
        <v>749</v>
      </c>
      <c r="F90" s="343"/>
      <c r="G90" s="248">
        <v>120</v>
      </c>
      <c r="H90" s="344">
        <v>1</v>
      </c>
      <c r="I90" s="1120" t="s">
        <v>748</v>
      </c>
      <c r="J90" s="326"/>
      <c r="K90" s="248">
        <v>8</v>
      </c>
      <c r="L90" s="247">
        <v>1</v>
      </c>
      <c r="M90" s="1125">
        <f>H90*(Prescriptions/G90)+L90*(PharmExtHrs&gt;=K90)</f>
        <v>0</v>
      </c>
      <c r="N90" s="1763"/>
      <c r="O90" s="327"/>
      <c r="P90" s="1088"/>
      <c r="Q90" s="1127"/>
      <c r="R90" s="1127"/>
      <c r="S90" s="1127"/>
      <c r="T90" s="1127"/>
      <c r="U90" s="1127"/>
      <c r="V90" s="1127"/>
    </row>
    <row r="91" spans="1:22" s="183" customFormat="1" ht="19.5" customHeight="1">
      <c r="A91" s="1043">
        <v>420</v>
      </c>
      <c r="B91" s="199"/>
      <c r="D91" s="183" t="s">
        <v>766</v>
      </c>
      <c r="E91" s="1126" t="s">
        <v>749</v>
      </c>
      <c r="F91" s="343"/>
      <c r="G91" s="248">
        <v>600</v>
      </c>
      <c r="H91" s="344">
        <v>1</v>
      </c>
      <c r="M91" s="1125">
        <f>H91*Prescriptions/G91</f>
        <v>0</v>
      </c>
      <c r="N91" s="1763"/>
      <c r="O91" s="339"/>
      <c r="P91" s="1088"/>
      <c r="Q91" s="1127"/>
      <c r="R91" s="1127"/>
      <c r="S91" s="1127"/>
      <c r="T91" s="1127"/>
      <c r="U91" s="1127"/>
      <c r="V91" s="1127"/>
    </row>
    <row r="92" spans="1:22" s="183" customFormat="1" ht="19.5" customHeight="1">
      <c r="A92" s="1043">
        <v>417</v>
      </c>
      <c r="B92" s="199"/>
      <c r="D92" s="183" t="s">
        <v>763</v>
      </c>
      <c r="E92" s="1120" t="s">
        <v>215</v>
      </c>
      <c r="F92" s="326"/>
      <c r="G92" s="248"/>
      <c r="H92" s="247">
        <v>1</v>
      </c>
      <c r="I92" s="1126"/>
      <c r="J92" s="343"/>
      <c r="K92" s="248"/>
      <c r="L92" s="344"/>
      <c r="M92" s="1125">
        <f>H92*HOSPITAL</f>
        <v>0</v>
      </c>
      <c r="N92" s="1764"/>
      <c r="O92" s="341"/>
      <c r="P92" s="1088"/>
      <c r="Q92" s="1127"/>
      <c r="R92" s="1127"/>
      <c r="S92" s="1127"/>
      <c r="T92" s="1127"/>
      <c r="U92" s="1127"/>
      <c r="V92" s="1127"/>
    </row>
    <row r="93" spans="1:22" s="183" customFormat="1" ht="19.5" customHeight="1">
      <c r="A93" s="1043">
        <v>416</v>
      </c>
      <c r="B93" s="199"/>
      <c r="D93" s="183" t="s">
        <v>764</v>
      </c>
      <c r="E93" s="1120" t="s">
        <v>215</v>
      </c>
      <c r="F93" s="326"/>
      <c r="G93" s="248"/>
      <c r="H93" s="247">
        <v>4</v>
      </c>
      <c r="I93" s="1126" t="s">
        <v>181</v>
      </c>
      <c r="J93" s="343">
        <v>30</v>
      </c>
      <c r="K93" s="248">
        <v>90</v>
      </c>
      <c r="L93" s="344">
        <v>1</v>
      </c>
      <c r="M93" s="1125">
        <f>HOSPITAL*(H93+(L93*(ADPL/J93)+(ADPL/K93)))</f>
        <v>0</v>
      </c>
      <c r="N93" s="1764"/>
      <c r="O93" s="341"/>
      <c r="P93" s="1088"/>
      <c r="Q93" s="1127"/>
      <c r="R93" s="1127"/>
      <c r="S93" s="1127"/>
      <c r="T93" s="1127"/>
      <c r="U93" s="1127"/>
      <c r="V93" s="1127"/>
    </row>
    <row r="94" spans="1:22" s="183" customFormat="1" ht="19.5" customHeight="1">
      <c r="A94" s="1043">
        <v>418</v>
      </c>
      <c r="B94" s="199"/>
      <c r="D94" s="345" t="s">
        <v>765</v>
      </c>
      <c r="E94" s="1120" t="s">
        <v>215</v>
      </c>
      <c r="F94" s="326"/>
      <c r="G94" s="248"/>
      <c r="H94" s="247">
        <v>1</v>
      </c>
      <c r="I94" s="1126"/>
      <c r="J94" s="343"/>
      <c r="K94" s="248"/>
      <c r="L94" s="344"/>
      <c r="M94" s="1125">
        <f>H94*HOSPITAL</f>
        <v>0</v>
      </c>
      <c r="N94" s="1764"/>
      <c r="O94" s="341"/>
      <c r="P94" s="1088"/>
      <c r="Q94" s="1127"/>
      <c r="R94" s="1127"/>
      <c r="S94" s="1127"/>
      <c r="T94" s="1127"/>
      <c r="U94" s="1127"/>
      <c r="V94" s="1127"/>
    </row>
    <row r="95" spans="1:22" s="183" customFormat="1" ht="19.5" customHeight="1">
      <c r="A95" s="1043"/>
      <c r="B95" s="199"/>
      <c r="D95" s="183" t="s">
        <v>761</v>
      </c>
      <c r="E95" s="1120" t="s">
        <v>768</v>
      </c>
      <c r="F95" s="326"/>
      <c r="G95" s="248"/>
      <c r="H95" s="247">
        <v>4</v>
      </c>
      <c r="I95" s="1120" t="s">
        <v>748</v>
      </c>
      <c r="J95" s="326">
        <v>4</v>
      </c>
      <c r="K95" s="248">
        <v>8</v>
      </c>
      <c r="L95" s="247">
        <v>1</v>
      </c>
      <c r="M95" s="1125">
        <f>(H95*ED24Hr)+(L95*(PharmExtHrs&gt;=J95))</f>
        <v>0</v>
      </c>
      <c r="N95" s="1764"/>
      <c r="O95" s="341"/>
      <c r="P95" s="1088"/>
      <c r="Q95" s="1127"/>
      <c r="R95" s="1127"/>
      <c r="S95" s="1127"/>
      <c r="T95" s="1127"/>
      <c r="U95" s="1127"/>
      <c r="V95" s="1127"/>
    </row>
    <row r="96" spans="1:22" s="183" customFormat="1" ht="19.5" customHeight="1">
      <c r="A96" s="1043">
        <v>419</v>
      </c>
      <c r="B96" s="199"/>
      <c r="D96" s="183" t="s">
        <v>760</v>
      </c>
      <c r="E96" s="1120" t="s">
        <v>762</v>
      </c>
      <c r="F96" s="326"/>
      <c r="G96" s="248"/>
      <c r="H96" s="247">
        <v>1</v>
      </c>
      <c r="I96" s="1130"/>
      <c r="J96" s="1130"/>
      <c r="K96" s="1130"/>
      <c r="L96" s="1130"/>
      <c r="M96" s="1125">
        <f>H96*ALTRURAL</f>
        <v>0</v>
      </c>
      <c r="N96" s="1764"/>
      <c r="O96" s="341"/>
      <c r="P96" s="1088"/>
      <c r="Q96" s="1127"/>
      <c r="R96" s="1127"/>
      <c r="S96" s="1127"/>
      <c r="T96" s="1127"/>
      <c r="U96" s="1127"/>
      <c r="V96" s="1127"/>
    </row>
    <row r="97" spans="1:22" s="183" customFormat="1" ht="19.5" customHeight="1">
      <c r="A97" s="1043">
        <v>183</v>
      </c>
      <c r="B97" s="199"/>
      <c r="D97" s="183" t="s">
        <v>588</v>
      </c>
      <c r="E97" s="1120" t="s">
        <v>749</v>
      </c>
      <c r="F97" s="326"/>
      <c r="G97" s="248">
        <v>500</v>
      </c>
      <c r="H97" s="247">
        <v>1</v>
      </c>
      <c r="M97" s="1125">
        <f>PointOfSalePhaarmClaims/G97</f>
        <v>0</v>
      </c>
      <c r="N97" s="1764"/>
      <c r="O97" s="341"/>
      <c r="P97" s="1088"/>
      <c r="Q97" s="1127"/>
      <c r="R97" s="1127"/>
      <c r="S97" s="1127"/>
      <c r="T97" s="1127"/>
      <c r="U97" s="1127"/>
      <c r="V97" s="1127"/>
    </row>
    <row r="98" spans="1:22" s="183" customFormat="1" ht="19.5" customHeight="1" thickBot="1">
      <c r="A98" s="1043"/>
      <c r="B98" s="232"/>
      <c r="C98" s="234"/>
      <c r="D98" s="290"/>
      <c r="E98" s="352"/>
      <c r="F98" s="353"/>
      <c r="G98" s="353"/>
      <c r="H98" s="353"/>
      <c r="I98" s="353"/>
      <c r="J98" s="353"/>
      <c r="K98" s="353"/>
      <c r="L98" s="353"/>
      <c r="M98" s="599">
        <f>SUM(M84:M97)</f>
        <v>0</v>
      </c>
      <c r="N98" s="1765"/>
      <c r="O98" s="341"/>
      <c r="P98" s="1088"/>
      <c r="Q98" s="1127"/>
      <c r="R98" s="1127"/>
      <c r="S98" s="1127"/>
      <c r="T98" s="1127"/>
      <c r="U98" s="1127"/>
      <c r="V98" s="1127"/>
    </row>
    <row r="99" spans="1:22" s="198" customFormat="1" ht="19.5" customHeight="1">
      <c r="A99" s="407"/>
      <c r="B99" s="221"/>
      <c r="C99" s="222" t="s">
        <v>225</v>
      </c>
      <c r="D99" s="242"/>
      <c r="E99" s="314"/>
      <c r="F99" s="354"/>
      <c r="G99" s="354"/>
      <c r="H99" s="354"/>
      <c r="I99" s="354"/>
      <c r="J99" s="354"/>
      <c r="K99" s="354"/>
      <c r="L99" s="314"/>
      <c r="M99" s="354"/>
      <c r="N99" s="1766"/>
      <c r="O99" s="193"/>
      <c r="P99" s="1088"/>
      <c r="Q99" s="1127"/>
      <c r="R99" s="1127"/>
      <c r="S99" s="1127"/>
      <c r="T99" s="1127"/>
      <c r="U99" s="1127"/>
      <c r="V99" s="1127"/>
    </row>
    <row r="100" spans="1:22" s="183" customFormat="1" ht="19.5" customHeight="1">
      <c r="A100" s="1043"/>
      <c r="B100" s="199"/>
      <c r="D100" s="183" t="s">
        <v>583</v>
      </c>
      <c r="E100" s="248" t="s">
        <v>215</v>
      </c>
      <c r="F100" s="355"/>
      <c r="G100" s="248">
        <v>1</v>
      </c>
      <c r="H100" s="247">
        <v>1</v>
      </c>
      <c r="I100" s="248" t="s">
        <v>181</v>
      </c>
      <c r="J100" s="343">
        <v>23</v>
      </c>
      <c r="K100" s="248">
        <v>1</v>
      </c>
      <c r="L100" s="247">
        <v>1</v>
      </c>
      <c r="M100" s="356">
        <f>IF(NOT(HOSPITAL),IF(ALTRURAL,G100,0),(ADPL/J100*L100+K100))</f>
        <v>0</v>
      </c>
      <c r="N100" s="1761"/>
      <c r="O100" s="327"/>
      <c r="P100" s="1088"/>
      <c r="Q100" s="1127"/>
      <c r="R100" s="1127"/>
      <c r="S100" s="1127"/>
      <c r="T100" s="1127"/>
      <c r="U100" s="1127"/>
      <c r="V100" s="1127"/>
    </row>
    <row r="101" spans="1:22" s="183" customFormat="1" ht="19.5" customHeight="1">
      <c r="A101" s="1043">
        <v>65</v>
      </c>
      <c r="B101" s="199"/>
      <c r="D101" s="183" t="s">
        <v>226</v>
      </c>
      <c r="E101" s="229" t="s">
        <v>227</v>
      </c>
      <c r="H101" s="228">
        <v>1</v>
      </c>
      <c r="I101" s="228"/>
      <c r="J101" s="228"/>
      <c r="K101" s="228"/>
      <c r="L101" s="228"/>
      <c r="M101" s="230">
        <f>IF(FAC_INFO_FAC_TYPE=4,H101,0)+IF(AND(FAC_INFO_FAC_TYPE=4,ORCases+OP_WKL_Outpatient_Surgery&gt;100),H101,0)</f>
        <v>0</v>
      </c>
      <c r="N101" s="1763"/>
      <c r="O101" s="327"/>
      <c r="P101" s="1088"/>
      <c r="Q101" s="1127"/>
      <c r="R101" s="1127"/>
      <c r="S101" s="1127"/>
      <c r="T101" s="1127"/>
      <c r="U101" s="1127"/>
      <c r="V101" s="1127"/>
    </row>
    <row r="102" spans="1:22" s="183" customFormat="1" ht="19.5" customHeight="1">
      <c r="A102" s="1043">
        <v>66</v>
      </c>
      <c r="B102" s="199"/>
      <c r="D102" s="345" t="s">
        <v>228</v>
      </c>
      <c r="E102" s="346" t="s">
        <v>218</v>
      </c>
      <c r="F102" s="347">
        <v>100000</v>
      </c>
      <c r="G102" s="345"/>
      <c r="H102" s="348">
        <v>1</v>
      </c>
      <c r="I102" s="348"/>
      <c r="J102" s="348"/>
      <c r="K102" s="348"/>
      <c r="L102" s="348"/>
      <c r="M102" s="330">
        <f>CHP/F102*H102</f>
        <v>0</v>
      </c>
      <c r="N102" s="1763"/>
      <c r="O102" s="327"/>
      <c r="P102" s="1088"/>
      <c r="Q102" s="1127"/>
      <c r="R102" s="1127"/>
      <c r="S102" s="1127"/>
      <c r="T102" s="1127"/>
      <c r="U102" s="1127"/>
      <c r="V102" s="1127"/>
    </row>
    <row r="103" spans="1:22" s="183" customFormat="1" ht="19.5" customHeight="1">
      <c r="A103" s="1043"/>
      <c r="B103" s="199"/>
      <c r="D103" s="183" t="s">
        <v>229</v>
      </c>
      <c r="E103" s="357" t="s">
        <v>157</v>
      </c>
      <c r="F103" s="358">
        <f>R103</f>
        <v>0</v>
      </c>
      <c r="G103" s="258">
        <v>4400</v>
      </c>
      <c r="H103" s="259">
        <v>0.5</v>
      </c>
      <c r="I103" s="258" t="s">
        <v>220</v>
      </c>
      <c r="J103" s="358">
        <v>27027</v>
      </c>
      <c r="K103" s="358">
        <v>4400</v>
      </c>
      <c r="L103" s="259">
        <v>1</v>
      </c>
      <c r="M103" s="230">
        <f>IF(PCPV&lt;=G103,H103,H103+(PCPV-K103)/J103*L103)*(FAC_INFO_FAC_TYPE&lt;&gt;1)</f>
        <v>0</v>
      </c>
      <c r="N103" s="1764"/>
      <c r="O103" s="339"/>
      <c r="P103" s="1088"/>
      <c r="Q103" s="1127"/>
      <c r="R103" s="1127"/>
      <c r="S103" s="1127"/>
      <c r="T103" s="1127"/>
      <c r="U103" s="1127"/>
      <c r="V103" s="1127"/>
    </row>
    <row r="104" spans="1:22" s="183" customFormat="1" ht="19.5" customHeight="1" thickBot="1">
      <c r="A104" s="1043"/>
      <c r="B104" s="232"/>
      <c r="C104" s="234"/>
      <c r="D104" s="290"/>
      <c r="E104" s="311"/>
      <c r="F104" s="353"/>
      <c r="G104" s="353"/>
      <c r="H104" s="353"/>
      <c r="I104" s="353"/>
      <c r="J104" s="353"/>
      <c r="K104" s="353"/>
      <c r="L104" s="353"/>
      <c r="M104" s="599">
        <f>SUM(M100:M103)</f>
        <v>0</v>
      </c>
      <c r="N104" s="1765"/>
      <c r="O104" s="339"/>
      <c r="P104" s="1088"/>
      <c r="Q104" s="1127"/>
      <c r="R104" s="1127"/>
      <c r="S104" s="1127"/>
      <c r="T104" s="1127"/>
      <c r="U104" s="1127"/>
      <c r="V104" s="1127"/>
    </row>
    <row r="105" spans="1:22" s="198" customFormat="1" ht="19.5" customHeight="1">
      <c r="A105" s="407"/>
      <c r="B105" s="221"/>
      <c r="C105" s="222" t="s">
        <v>615</v>
      </c>
      <c r="D105" s="242"/>
      <c r="E105" s="314"/>
      <c r="F105" s="354"/>
      <c r="G105" s="354"/>
      <c r="H105" s="354"/>
      <c r="I105" s="354"/>
      <c r="J105" s="354"/>
      <c r="K105" s="354"/>
      <c r="L105" s="354"/>
      <c r="M105" s="354"/>
      <c r="N105" s="1766"/>
      <c r="O105" s="193"/>
      <c r="P105" s="1088"/>
      <c r="Q105" s="1127"/>
      <c r="R105" s="1127"/>
      <c r="S105" s="1127"/>
      <c r="T105" s="1127"/>
      <c r="U105" s="1127"/>
      <c r="V105" s="1127"/>
    </row>
    <row r="106" spans="1:22" s="183" customFormat="1" ht="19.5" customHeight="1">
      <c r="A106" s="1043">
        <v>263</v>
      </c>
      <c r="B106" s="199"/>
      <c r="D106" s="188" t="s">
        <v>616</v>
      </c>
      <c r="E106" s="248" t="s">
        <v>157</v>
      </c>
      <c r="F106" s="326">
        <f>R106</f>
        <v>0</v>
      </c>
      <c r="G106" s="248"/>
      <c r="H106" s="247">
        <v>1</v>
      </c>
      <c r="I106" s="247"/>
      <c r="J106" s="247"/>
      <c r="K106" s="247"/>
      <c r="L106" s="247"/>
      <c r="M106" s="249">
        <f>H106*(FAC_INFO_FAC_TYPE&lt;&gt;1)</f>
        <v>0</v>
      </c>
      <c r="N106" s="1761"/>
      <c r="O106" s="327"/>
      <c r="P106" s="1088"/>
      <c r="Q106" s="1127"/>
      <c r="R106" s="1127"/>
      <c r="S106" s="1127"/>
      <c r="T106" s="1127"/>
      <c r="U106" s="1127"/>
      <c r="V106" s="1127"/>
    </row>
    <row r="107" spans="1:22" s="183" customFormat="1" ht="19.5" customHeight="1">
      <c r="A107" s="1043">
        <v>261</v>
      </c>
      <c r="B107" s="199"/>
      <c r="D107" s="188" t="s">
        <v>617</v>
      </c>
      <c r="E107" s="229" t="s">
        <v>179</v>
      </c>
      <c r="F107" s="328">
        <v>1</v>
      </c>
      <c r="G107" s="229"/>
      <c r="H107" s="228">
        <v>1</v>
      </c>
      <c r="I107" s="228"/>
      <c r="J107" s="228"/>
      <c r="K107" s="228"/>
      <c r="L107" s="228"/>
      <c r="M107" s="230">
        <f>IF(HOSPITAL,ADPL*H108/F108+H107,0)+PCPV/J108*L108</f>
        <v>0</v>
      </c>
      <c r="N107" s="1763"/>
      <c r="O107" s="327"/>
      <c r="P107" s="1088"/>
      <c r="Q107" s="1127"/>
      <c r="R107" s="1127"/>
      <c r="S107" s="1127"/>
      <c r="T107" s="1127"/>
      <c r="U107" s="1127"/>
      <c r="V107" s="1127"/>
    </row>
    <row r="108" spans="1:22" s="183" customFormat="1" ht="19.5" customHeight="1">
      <c r="A108" s="1043"/>
      <c r="B108" s="199"/>
      <c r="D108" s="188"/>
      <c r="E108" s="229" t="s">
        <v>181</v>
      </c>
      <c r="F108" s="359">
        <v>14.3</v>
      </c>
      <c r="G108" s="229">
        <v>1</v>
      </c>
      <c r="H108" s="228">
        <v>1</v>
      </c>
      <c r="I108" s="229" t="s">
        <v>220</v>
      </c>
      <c r="J108" s="329">
        <v>4550</v>
      </c>
      <c r="K108" s="229"/>
      <c r="L108" s="228">
        <v>1</v>
      </c>
      <c r="M108" s="229"/>
      <c r="N108" s="1763"/>
      <c r="O108" s="327"/>
      <c r="P108" s="1088"/>
      <c r="Q108" s="1127"/>
      <c r="R108" s="1127"/>
      <c r="S108" s="1127"/>
      <c r="T108" s="1127"/>
      <c r="U108" s="1127"/>
      <c r="V108" s="1127"/>
    </row>
    <row r="109" spans="1:22" s="183" customFormat="1" ht="19.5" customHeight="1">
      <c r="A109" s="1043">
        <v>421</v>
      </c>
      <c r="B109" s="199"/>
      <c r="D109" s="360" t="s">
        <v>618</v>
      </c>
      <c r="E109" s="346" t="s">
        <v>218</v>
      </c>
      <c r="F109" s="347">
        <v>40000</v>
      </c>
      <c r="G109" s="346"/>
      <c r="H109" s="348">
        <v>1</v>
      </c>
      <c r="I109" s="346"/>
      <c r="J109" s="350"/>
      <c r="K109" s="346"/>
      <c r="L109" s="348"/>
      <c r="M109" s="361">
        <f>CHP/F109*H109</f>
        <v>0</v>
      </c>
      <c r="N109" s="1763"/>
      <c r="O109" s="327"/>
      <c r="P109" s="987"/>
      <c r="Q109" s="1128"/>
      <c r="R109" s="470"/>
      <c r="S109" s="470"/>
      <c r="T109" s="470"/>
      <c r="U109" s="470"/>
      <c r="V109" s="470"/>
    </row>
    <row r="110" spans="1:22" s="183" customFormat="1" ht="19.5" customHeight="1">
      <c r="A110" s="1043">
        <v>267</v>
      </c>
      <c r="B110" s="199"/>
      <c r="D110" s="188" t="s">
        <v>230</v>
      </c>
      <c r="E110" s="227" t="s">
        <v>231</v>
      </c>
      <c r="F110" s="328">
        <v>4</v>
      </c>
      <c r="G110" s="229"/>
      <c r="H110" s="228">
        <v>1</v>
      </c>
      <c r="I110" s="228"/>
      <c r="J110" s="228"/>
      <c r="K110" s="228"/>
      <c r="L110" s="228"/>
      <c r="M110" s="230">
        <f>(M111)/F110*H110</f>
        <v>0</v>
      </c>
      <c r="N110" s="1763"/>
      <c r="O110" s="339"/>
      <c r="P110" s="987"/>
      <c r="Q110" s="1128"/>
      <c r="R110" s="470"/>
      <c r="S110" s="470"/>
      <c r="T110" s="470"/>
      <c r="U110" s="470"/>
      <c r="V110" s="470"/>
    </row>
    <row r="111" spans="1:22" s="183" customFormat="1" ht="19.5" customHeight="1">
      <c r="A111" s="1043">
        <v>266</v>
      </c>
      <c r="B111" s="199"/>
      <c r="D111" s="188" t="s">
        <v>232</v>
      </c>
      <c r="E111" s="229" t="s">
        <v>233</v>
      </c>
      <c r="F111" s="328">
        <v>16000</v>
      </c>
      <c r="G111" s="229"/>
      <c r="H111" s="228">
        <v>1</v>
      </c>
      <c r="I111" s="229" t="s">
        <v>234</v>
      </c>
      <c r="J111" s="329">
        <v>16000</v>
      </c>
      <c r="K111" s="229"/>
      <c r="L111" s="228">
        <v>1</v>
      </c>
      <c r="M111" s="256">
        <f>IF(HOSPITAL,(OPV+1.952*FAC_INFO_Inpatient)/F111,0)+IF(NOT(HOSPITAL),(OPV+1.92*AmbUPOP)/J111,0)</f>
        <v>0</v>
      </c>
      <c r="N111" s="1763"/>
      <c r="O111" s="341"/>
      <c r="P111" s="987"/>
      <c r="Q111" s="1128"/>
      <c r="R111" s="470"/>
      <c r="S111" s="470"/>
      <c r="T111" s="470"/>
      <c r="U111" s="470"/>
      <c r="V111" s="470"/>
    </row>
    <row r="112" spans="1:22" s="183" customFormat="1" ht="19.5" customHeight="1">
      <c r="A112" s="1043">
        <v>430</v>
      </c>
      <c r="B112" s="199"/>
      <c r="C112" s="345"/>
      <c r="D112" s="360" t="s">
        <v>235</v>
      </c>
      <c r="E112" s="346" t="s">
        <v>218</v>
      </c>
      <c r="F112" s="347">
        <v>16000</v>
      </c>
      <c r="G112" s="346"/>
      <c r="H112" s="348">
        <v>1</v>
      </c>
      <c r="I112" s="346"/>
      <c r="J112" s="350"/>
      <c r="K112" s="346"/>
      <c r="L112" s="348"/>
      <c r="M112" s="362">
        <f>CHP/F112*H112</f>
        <v>0</v>
      </c>
      <c r="N112" s="1763"/>
      <c r="P112" s="341" t="s">
        <v>236</v>
      </c>
      <c r="Q112" s="1003"/>
      <c r="R112" s="214"/>
      <c r="S112" s="214"/>
      <c r="T112" s="214"/>
      <c r="U112" s="214"/>
      <c r="V112" s="214"/>
    </row>
    <row r="113" spans="1:77" s="183" customFormat="1" ht="19.5" customHeight="1">
      <c r="A113" s="1043">
        <v>268</v>
      </c>
      <c r="B113" s="199"/>
      <c r="C113" s="345"/>
      <c r="D113" s="360" t="s">
        <v>237</v>
      </c>
      <c r="E113" s="346" t="s">
        <v>179</v>
      </c>
      <c r="F113" s="347">
        <v>1</v>
      </c>
      <c r="G113" s="346"/>
      <c r="H113" s="348">
        <v>1</v>
      </c>
      <c r="I113" s="346" t="s">
        <v>56</v>
      </c>
      <c r="J113" s="350">
        <v>1250</v>
      </c>
      <c r="K113" s="346">
        <v>1000</v>
      </c>
      <c r="L113" s="348">
        <v>1</v>
      </c>
      <c r="M113" s="362">
        <f>IF(HOSPITAL,H113+IF(Admits&gt;AdmitOverride,IF(Admits&gt;K113,(Admits-K113)/J113*L113,0),IF(AdmitOverride&gt;K113,(AdmitOverride-K113)/J113*L113,0)),0)</f>
        <v>0</v>
      </c>
      <c r="N113" s="1763"/>
      <c r="P113" s="341" t="s">
        <v>238</v>
      </c>
      <c r="Q113" s="1003"/>
      <c r="R113" s="214"/>
      <c r="S113" s="214"/>
      <c r="T113" s="214"/>
      <c r="U113" s="214"/>
      <c r="V113" s="214"/>
    </row>
    <row r="114" spans="1:77" s="183" customFormat="1" ht="19.5" customHeight="1">
      <c r="A114" s="1043"/>
      <c r="B114" s="199"/>
      <c r="C114" s="345"/>
      <c r="D114" s="360" t="s">
        <v>237</v>
      </c>
      <c r="E114" s="346" t="s">
        <v>157</v>
      </c>
      <c r="F114" s="347">
        <v>1</v>
      </c>
      <c r="G114" s="346"/>
      <c r="H114" s="348">
        <v>1</v>
      </c>
      <c r="I114" s="346" t="s">
        <v>239</v>
      </c>
      <c r="J114" s="350">
        <v>20000</v>
      </c>
      <c r="K114" s="346"/>
      <c r="L114" s="348">
        <v>1</v>
      </c>
      <c r="M114" s="362">
        <f>H114*(FAC_INFO_FAC_TYPE&lt;&gt;1)+IF(OPV&gt;'Outpatient Workload'!D17,OPV/J114,'Outpatient Workload'!D17/J114)</f>
        <v>0</v>
      </c>
      <c r="N114" s="1763"/>
      <c r="O114" s="341"/>
      <c r="P114" s="987"/>
      <c r="Q114" s="1003"/>
      <c r="R114" s="214"/>
      <c r="S114" s="214"/>
      <c r="T114" s="214"/>
      <c r="U114" s="214"/>
      <c r="V114" s="214"/>
    </row>
    <row r="115" spans="1:77" s="183" customFormat="1" ht="19.5" customHeight="1">
      <c r="A115" s="1043">
        <v>264</v>
      </c>
      <c r="B115" s="199"/>
      <c r="D115" s="188" t="s">
        <v>240</v>
      </c>
      <c r="E115" s="258" t="s">
        <v>241</v>
      </c>
      <c r="F115" s="351">
        <v>144000</v>
      </c>
      <c r="G115" s="258"/>
      <c r="H115" s="259">
        <v>1</v>
      </c>
      <c r="I115" s="258" t="s">
        <v>241</v>
      </c>
      <c r="J115" s="358">
        <v>144000</v>
      </c>
      <c r="K115" s="258"/>
      <c r="L115" s="259">
        <v>1</v>
      </c>
      <c r="M115" s="230">
        <f>IF(HOSPITAL,(OPV+1.952*FAC_INFO_Inpatient)/F115,0)+IF(NOT(HOSPITAL),(OPV+1.92*AmbUPOP)/J115,0)</f>
        <v>0</v>
      </c>
      <c r="N115" s="1763"/>
      <c r="O115" s="341"/>
      <c r="P115" s="987"/>
      <c r="Q115" s="1003"/>
      <c r="R115" s="214"/>
      <c r="S115" s="214"/>
      <c r="T115" s="214"/>
      <c r="U115" s="214"/>
      <c r="V115" s="214"/>
    </row>
    <row r="116" spans="1:77" s="183" customFormat="1" ht="19.5" customHeight="1" thickBot="1">
      <c r="A116" s="1043"/>
      <c r="B116" s="232"/>
      <c r="C116" s="234"/>
      <c r="D116" s="290"/>
      <c r="E116" s="311"/>
      <c r="F116" s="353"/>
      <c r="G116" s="353"/>
      <c r="H116" s="353"/>
      <c r="I116" s="353"/>
      <c r="J116" s="353"/>
      <c r="K116" s="353"/>
      <c r="L116" s="353"/>
      <c r="M116" s="600">
        <f>SUM(M106:M115)</f>
        <v>0</v>
      </c>
      <c r="N116" s="1770"/>
      <c r="O116" s="341"/>
      <c r="P116" s="987"/>
      <c r="Q116" s="1003"/>
      <c r="R116" s="214"/>
      <c r="S116" s="214"/>
      <c r="T116" s="214"/>
      <c r="U116" s="214"/>
      <c r="V116" s="214"/>
    </row>
    <row r="117" spans="1:77" s="183" customFormat="1" ht="19.5" customHeight="1">
      <c r="A117" s="1043"/>
      <c r="B117" s="176"/>
      <c r="C117" s="363" t="s">
        <v>242</v>
      </c>
      <c r="D117" s="293"/>
      <c r="E117" s="314"/>
      <c r="F117" s="354"/>
      <c r="G117" s="354"/>
      <c r="H117" s="354"/>
      <c r="I117" s="354"/>
      <c r="J117" s="354"/>
      <c r="K117" s="354"/>
      <c r="L117" s="354"/>
      <c r="M117" s="354"/>
      <c r="N117" s="1766"/>
      <c r="O117" s="926"/>
      <c r="P117" s="987"/>
      <c r="Q117" s="1003"/>
      <c r="R117" s="214"/>
      <c r="S117" s="214"/>
      <c r="T117" s="214"/>
      <c r="U117" s="214"/>
      <c r="V117" s="214"/>
    </row>
    <row r="118" spans="1:77" s="183" customFormat="1" ht="19.5" customHeight="1" thickBot="1">
      <c r="A118" s="1043">
        <v>67</v>
      </c>
      <c r="B118" s="232"/>
      <c r="C118" s="234"/>
      <c r="D118" s="234" t="s">
        <v>243</v>
      </c>
      <c r="E118" s="364" t="s">
        <v>244</v>
      </c>
      <c r="F118" s="365">
        <v>2939</v>
      </c>
      <c r="G118" s="365">
        <v>5</v>
      </c>
      <c r="H118" s="366">
        <v>1</v>
      </c>
      <c r="I118" s="364"/>
      <c r="J118" s="364"/>
      <c r="K118" s="364"/>
      <c r="L118" s="364"/>
      <c r="M118" s="601">
        <f>IF(ADPL&lt;=G118,0,IP_Subtotal_OnSiteDays/F118)</f>
        <v>0</v>
      </c>
      <c r="N118" s="1771"/>
      <c r="P118" s="927" t="s">
        <v>245</v>
      </c>
      <c r="Q118" s="1003"/>
      <c r="R118" s="214"/>
      <c r="S118" s="214"/>
      <c r="T118" s="214"/>
      <c r="U118" s="214"/>
      <c r="V118" s="214"/>
    </row>
    <row r="119" spans="1:77" s="416" customFormat="1" ht="19.5" customHeight="1">
      <c r="A119" s="407"/>
      <c r="B119" s="176"/>
      <c r="C119" s="363" t="s">
        <v>500</v>
      </c>
      <c r="D119" s="293"/>
      <c r="E119" s="314"/>
      <c r="F119" s="354"/>
      <c r="G119" s="354"/>
      <c r="H119" s="354"/>
      <c r="I119" s="354"/>
      <c r="J119" s="354"/>
      <c r="K119" s="354"/>
      <c r="L119" s="354"/>
      <c r="M119" s="354"/>
      <c r="N119" s="1766"/>
      <c r="O119" s="928"/>
      <c r="P119" s="994"/>
      <c r="Q119" s="1016"/>
      <c r="R119" s="403"/>
      <c r="S119" s="415"/>
      <c r="T119" s="415"/>
      <c r="U119" s="420"/>
      <c r="V119" s="415"/>
      <c r="W119" s="415"/>
      <c r="X119" s="415"/>
      <c r="Y119" s="415"/>
      <c r="Z119" s="379"/>
      <c r="AA119" s="379"/>
      <c r="AB119" s="379"/>
      <c r="AC119" s="379"/>
      <c r="AD119" s="379"/>
      <c r="AE119" s="379"/>
      <c r="AF119" s="379"/>
      <c r="AG119" s="379"/>
      <c r="AH119" s="379"/>
      <c r="AI119" s="379"/>
      <c r="AJ119" s="379"/>
      <c r="AK119" s="379"/>
      <c r="AL119" s="415"/>
      <c r="AM119" s="415"/>
      <c r="AN119" s="415"/>
      <c r="AO119" s="415"/>
      <c r="AP119" s="415"/>
      <c r="AQ119" s="415"/>
      <c r="AR119" s="415"/>
      <c r="AS119" s="450"/>
      <c r="AT119" s="450"/>
      <c r="AU119" s="450"/>
      <c r="AV119" s="450"/>
      <c r="AW119" s="450"/>
      <c r="AX119" s="450"/>
      <c r="AY119" s="371"/>
      <c r="AZ119" s="371"/>
      <c r="BD119"/>
      <c r="BE119" s="371"/>
      <c r="BF119" s="371"/>
      <c r="BG119" s="371"/>
      <c r="BH119" s="371"/>
      <c r="BI119"/>
      <c r="BJ119"/>
      <c r="BK119"/>
      <c r="BL119"/>
      <c r="BM119"/>
      <c r="BN119"/>
      <c r="BO119"/>
      <c r="BP119"/>
      <c r="BQ119"/>
      <c r="BR119"/>
      <c r="BS119"/>
      <c r="BT119"/>
      <c r="BU119"/>
      <c r="BV119"/>
      <c r="BW119"/>
      <c r="BX119"/>
      <c r="BY119"/>
    </row>
    <row r="120" spans="1:77" s="371" customFormat="1" ht="19.5" customHeight="1" thickBot="1">
      <c r="A120" s="1043">
        <v>178</v>
      </c>
      <c r="B120" s="232"/>
      <c r="C120" s="234"/>
      <c r="D120" s="234" t="s">
        <v>501</v>
      </c>
      <c r="E120" s="364" t="s">
        <v>220</v>
      </c>
      <c r="F120" s="365">
        <v>10000</v>
      </c>
      <c r="G120" s="365">
        <v>0</v>
      </c>
      <c r="H120" s="366">
        <v>0.3</v>
      </c>
      <c r="I120" s="364"/>
      <c r="J120" s="364"/>
      <c r="K120" s="364"/>
      <c r="L120" s="364"/>
      <c r="M120" s="601">
        <f>PCPV/F120*H120</f>
        <v>0</v>
      </c>
      <c r="N120" s="1771"/>
      <c r="O120" s="928"/>
      <c r="P120" s="995"/>
      <c r="Q120" s="1017"/>
      <c r="R120" s="381"/>
      <c r="S120" s="379"/>
      <c r="T120" s="458"/>
      <c r="U120" s="389"/>
      <c r="V120" s="458"/>
      <c r="W120" s="379"/>
      <c r="X120" s="379"/>
      <c r="Y120" s="379"/>
      <c r="Z120" s="415"/>
      <c r="AA120" s="415"/>
      <c r="AB120" s="415"/>
      <c r="AC120" s="415"/>
      <c r="AD120" s="415"/>
      <c r="AE120" s="381"/>
      <c r="AF120" s="379"/>
      <c r="AG120" s="381"/>
      <c r="AH120" s="379"/>
      <c r="AI120" s="379"/>
      <c r="AJ120" s="379"/>
      <c r="AK120" s="438"/>
      <c r="AL120" s="379"/>
      <c r="AM120" s="379"/>
      <c r="AN120" s="379"/>
      <c r="AO120" s="379"/>
      <c r="AP120" s="379"/>
      <c r="AQ120" s="379"/>
      <c r="AR120" s="379"/>
      <c r="AS120" s="450"/>
      <c r="AT120" s="450"/>
      <c r="AU120" s="450"/>
      <c r="AV120" s="450"/>
      <c r="AW120" s="450"/>
      <c r="AX120" s="450"/>
      <c r="BD120"/>
      <c r="BI120"/>
      <c r="BJ120"/>
      <c r="BK120"/>
      <c r="BL120"/>
      <c r="BM120"/>
      <c r="BN120"/>
      <c r="BO120"/>
      <c r="BP120"/>
      <c r="BQ120"/>
      <c r="BR120"/>
      <c r="BS120"/>
      <c r="BT120"/>
      <c r="BU120"/>
      <c r="BV120"/>
      <c r="BW120"/>
      <c r="BX120"/>
      <c r="BY120"/>
    </row>
    <row r="121" spans="1:77" s="183" customFormat="1" ht="19.5" customHeight="1">
      <c r="A121" s="1043"/>
      <c r="B121" s="176"/>
      <c r="C121" s="363" t="s">
        <v>714</v>
      </c>
      <c r="D121" s="293"/>
      <c r="E121" s="314"/>
      <c r="F121" s="354"/>
      <c r="G121" s="354"/>
      <c r="H121" s="354"/>
      <c r="I121" s="354"/>
      <c r="J121" s="354"/>
      <c r="K121" s="354"/>
      <c r="L121" s="354"/>
      <c r="M121" s="354"/>
      <c r="N121" s="1766"/>
      <c r="O121" s="929"/>
      <c r="P121" s="996"/>
      <c r="Q121" s="11"/>
      <c r="R121" s="214"/>
      <c r="S121" s="214"/>
      <c r="T121" s="214"/>
      <c r="U121" s="214"/>
      <c r="V121" s="214"/>
    </row>
    <row r="122" spans="1:77" s="183" customFormat="1" ht="19.5" customHeight="1">
      <c r="A122" s="1043"/>
      <c r="B122" s="199"/>
      <c r="C122" s="229"/>
      <c r="D122" s="295" t="s">
        <v>730</v>
      </c>
      <c r="E122" s="367"/>
      <c r="F122" s="368"/>
      <c r="G122" s="307"/>
      <c r="H122" s="369"/>
      <c r="I122" s="369"/>
      <c r="J122" s="369"/>
      <c r="K122" s="369"/>
      <c r="L122" s="369"/>
      <c r="M122" s="304">
        <v>0</v>
      </c>
      <c r="N122" s="1761"/>
      <c r="O122" s="179"/>
      <c r="P122" s="992"/>
      <c r="Q122" s="11"/>
      <c r="R122" s="214"/>
      <c r="S122" s="214"/>
      <c r="T122" s="214"/>
      <c r="U122" s="214"/>
      <c r="V122" s="214"/>
    </row>
    <row r="123" spans="1:77" s="183" customFormat="1" ht="19.5" customHeight="1">
      <c r="A123" s="1043"/>
      <c r="B123" s="199"/>
      <c r="C123" s="229"/>
      <c r="D123" s="295" t="s">
        <v>731</v>
      </c>
      <c r="E123" s="367"/>
      <c r="F123" s="368"/>
      <c r="G123" s="307"/>
      <c r="H123" s="369"/>
      <c r="I123" s="369"/>
      <c r="J123" s="369"/>
      <c r="K123" s="369"/>
      <c r="L123" s="369"/>
      <c r="M123" s="304">
        <v>0</v>
      </c>
      <c r="N123" s="1763"/>
      <c r="O123" s="179"/>
      <c r="P123" s="992"/>
      <c r="Q123" s="11"/>
      <c r="R123" s="214"/>
      <c r="S123" s="214"/>
      <c r="T123" s="214"/>
      <c r="U123" s="214"/>
      <c r="V123" s="214"/>
    </row>
    <row r="124" spans="1:77" s="183" customFormat="1" ht="19.5" customHeight="1">
      <c r="A124" s="1043"/>
      <c r="B124" s="199"/>
      <c r="C124" s="229"/>
      <c r="D124" s="295" t="s">
        <v>732</v>
      </c>
      <c r="E124" s="367"/>
      <c r="F124" s="368"/>
      <c r="G124" s="307"/>
      <c r="H124" s="369"/>
      <c r="I124" s="369"/>
      <c r="J124" s="369"/>
      <c r="K124" s="369"/>
      <c r="L124" s="369"/>
      <c r="M124" s="304">
        <v>0</v>
      </c>
      <c r="N124" s="1763"/>
      <c r="O124" s="179"/>
      <c r="P124" s="992"/>
      <c r="Q124" s="11"/>
      <c r="R124" s="214"/>
      <c r="S124" s="214"/>
      <c r="T124" s="214"/>
      <c r="U124" s="214"/>
      <c r="V124" s="214"/>
    </row>
    <row r="125" spans="1:77" s="183" customFormat="1" ht="19.5" customHeight="1">
      <c r="A125" s="1043"/>
      <c r="B125" s="199"/>
      <c r="C125" s="229"/>
      <c r="D125" s="295" t="s">
        <v>733</v>
      </c>
      <c r="E125" s="367"/>
      <c r="F125" s="368"/>
      <c r="G125" s="307"/>
      <c r="H125" s="369"/>
      <c r="I125" s="369"/>
      <c r="J125" s="369"/>
      <c r="K125" s="369"/>
      <c r="L125" s="369"/>
      <c r="M125" s="304">
        <v>0</v>
      </c>
      <c r="N125" s="1763"/>
      <c r="O125" s="179"/>
      <c r="P125" s="992"/>
      <c r="Q125" s="11"/>
      <c r="R125" s="214"/>
      <c r="S125" s="214"/>
      <c r="T125" s="214"/>
      <c r="U125" s="214"/>
      <c r="V125" s="214"/>
    </row>
    <row r="126" spans="1:77" s="183" customFormat="1" ht="19.5" customHeight="1">
      <c r="A126" s="1043"/>
      <c r="B126" s="199"/>
      <c r="E126" s="325"/>
      <c r="F126" s="370"/>
      <c r="G126" s="370"/>
      <c r="H126" s="370"/>
      <c r="I126" s="370"/>
      <c r="J126" s="370"/>
      <c r="K126" s="370"/>
      <c r="L126" s="370"/>
      <c r="M126" s="1780">
        <f>SUM(M122:M125)</f>
        <v>0</v>
      </c>
      <c r="N126" s="1772"/>
      <c r="O126" s="54"/>
      <c r="P126" s="992"/>
      <c r="Q126" s="11"/>
      <c r="R126" s="214"/>
      <c r="S126" s="214"/>
      <c r="T126" s="214"/>
      <c r="U126" s="214"/>
      <c r="V126" s="214"/>
    </row>
    <row r="127" spans="1:77" s="183" customFormat="1" ht="19.5" customHeight="1" thickBot="1">
      <c r="A127" s="1043"/>
      <c r="B127" s="232"/>
      <c r="C127" s="234"/>
      <c r="D127" s="234"/>
      <c r="E127" s="311"/>
      <c r="F127" s="353"/>
      <c r="G127" s="353"/>
      <c r="H127" s="353"/>
      <c r="I127" s="353"/>
      <c r="J127" s="353"/>
      <c r="K127" s="353"/>
      <c r="L127" s="353"/>
      <c r="M127" s="353"/>
      <c r="N127" s="313"/>
      <c r="O127" s="54"/>
      <c r="P127" s="992"/>
      <c r="Q127" s="11"/>
      <c r="R127" s="214"/>
      <c r="S127" s="214"/>
      <c r="T127" s="214"/>
      <c r="U127" s="214"/>
      <c r="V127" s="214"/>
    </row>
    <row r="128" spans="1:77" s="183" customFormat="1" ht="19.5" customHeight="1">
      <c r="A128" s="1043"/>
      <c r="B128" s="372"/>
      <c r="C128" s="373"/>
      <c r="D128" s="373"/>
      <c r="E128" s="373"/>
      <c r="F128" s="373"/>
      <c r="G128" s="355"/>
      <c r="H128" s="374"/>
      <c r="I128" s="375" t="s">
        <v>246</v>
      </c>
      <c r="J128" s="374"/>
      <c r="K128" s="374"/>
      <c r="L128" s="374"/>
      <c r="M128" s="591">
        <f>+M82+M98+M104+M116+M118+M120+M126</f>
        <v>0</v>
      </c>
      <c r="N128" s="373"/>
      <c r="O128" s="48"/>
      <c r="P128" s="992"/>
      <c r="Q128" s="11"/>
      <c r="R128" s="214"/>
      <c r="S128" s="214"/>
      <c r="T128" s="214"/>
      <c r="U128" s="214"/>
      <c r="V128" s="214"/>
    </row>
    <row r="129" spans="1:22" s="183" customFormat="1" ht="19.5" customHeight="1">
      <c r="A129" s="1043"/>
      <c r="B129" s="188"/>
      <c r="G129" s="226"/>
      <c r="H129" s="376"/>
      <c r="I129" s="226"/>
      <c r="J129" s="376"/>
      <c r="K129" s="376"/>
      <c r="L129" s="376"/>
      <c r="M129" s="377"/>
      <c r="O129" s="48"/>
      <c r="P129" s="992"/>
      <c r="Q129" s="11"/>
      <c r="R129" s="214"/>
      <c r="S129" s="214"/>
      <c r="T129" s="214"/>
      <c r="U129" s="214"/>
      <c r="V129" s="214"/>
    </row>
    <row r="130" spans="1:22" s="183" customFormat="1" ht="19.5" customHeight="1">
      <c r="A130" s="1043"/>
      <c r="B130" s="188"/>
      <c r="G130" s="226"/>
      <c r="H130" s="376"/>
      <c r="I130" s="226" t="s">
        <v>247</v>
      </c>
      <c r="J130" s="376"/>
      <c r="K130" s="376"/>
      <c r="L130" s="376"/>
      <c r="M130" s="593">
        <f>M128+M72</f>
        <v>0</v>
      </c>
      <c r="O130" s="48"/>
      <c r="P130" s="992"/>
      <c r="Q130" s="11"/>
      <c r="R130" s="214"/>
      <c r="S130" s="214"/>
      <c r="T130" s="214"/>
      <c r="U130" s="214"/>
      <c r="V130" s="214"/>
    </row>
    <row r="131" spans="1:22" s="183" customFormat="1" ht="19.5" customHeight="1">
      <c r="A131" s="1043"/>
      <c r="B131" s="188"/>
      <c r="F131" s="226"/>
      <c r="G131" s="226"/>
      <c r="H131" s="376"/>
      <c r="I131" s="376"/>
      <c r="J131" s="376"/>
      <c r="K131" s="376"/>
      <c r="L131" s="376"/>
      <c r="M131" s="377"/>
      <c r="O131" s="48"/>
      <c r="P131" s="992"/>
      <c r="Q131" s="11"/>
      <c r="R131" s="214"/>
      <c r="S131" s="214"/>
      <c r="T131" s="214"/>
      <c r="U131" s="214"/>
      <c r="V131" s="214"/>
    </row>
    <row r="132" spans="1:22" ht="19.5" customHeight="1">
      <c r="O132" s="23"/>
      <c r="P132" s="997"/>
      <c r="Q132" s="3"/>
      <c r="R132" s="383"/>
      <c r="S132" s="383"/>
      <c r="T132" s="383"/>
      <c r="U132" s="383"/>
      <c r="V132" s="383"/>
    </row>
    <row r="133" spans="1:22" ht="19.5" customHeight="1">
      <c r="B133" s="1954"/>
      <c r="C133" s="1954"/>
      <c r="D133" s="1954"/>
      <c r="E133" s="1954"/>
      <c r="F133" s="1954"/>
      <c r="G133" s="1954"/>
      <c r="H133" s="1954"/>
      <c r="I133" s="1954"/>
      <c r="J133" s="1954"/>
      <c r="K133" s="1954"/>
      <c r="L133" s="1954"/>
      <c r="M133" s="1954"/>
      <c r="N133" s="1954"/>
      <c r="O133" s="23"/>
      <c r="P133" s="997"/>
      <c r="Q133" s="3"/>
      <c r="R133" s="383"/>
      <c r="S133" s="383"/>
      <c r="T133" s="383"/>
      <c r="U133" s="383"/>
      <c r="V133" s="383"/>
    </row>
    <row r="134" spans="1:22" ht="19.5" customHeight="1">
      <c r="B134" s="1954"/>
      <c r="C134" s="1954"/>
      <c r="D134" s="1954"/>
      <c r="E134" s="1954"/>
      <c r="F134" s="1954"/>
      <c r="G134" s="1954"/>
      <c r="H134" s="1954"/>
      <c r="I134" s="1954"/>
      <c r="J134" s="1954"/>
      <c r="K134" s="1954"/>
      <c r="L134" s="1954"/>
      <c r="M134" s="1954"/>
      <c r="N134" s="1954"/>
      <c r="O134" s="23"/>
      <c r="P134" s="997"/>
      <c r="Q134" s="3"/>
      <c r="R134" s="383"/>
      <c r="S134" s="383"/>
      <c r="T134" s="383"/>
      <c r="U134" s="383"/>
      <c r="V134" s="383"/>
    </row>
    <row r="135" spans="1:22" ht="19.5" customHeight="1">
      <c r="B135" s="1954"/>
      <c r="C135" s="1954"/>
      <c r="D135" s="1954"/>
      <c r="E135" s="1954"/>
      <c r="F135" s="1954"/>
      <c r="G135" s="1954"/>
      <c r="H135" s="1954"/>
      <c r="I135" s="1954"/>
      <c r="J135" s="1954"/>
      <c r="K135" s="1954"/>
      <c r="L135" s="1954"/>
      <c r="M135" s="1954"/>
      <c r="N135" s="1954"/>
      <c r="O135" s="23"/>
      <c r="P135" s="998"/>
      <c r="Q135" s="3"/>
      <c r="R135" s="383"/>
      <c r="S135" s="383"/>
      <c r="T135" s="383"/>
      <c r="U135" s="383"/>
      <c r="V135" s="383"/>
    </row>
    <row r="136" spans="1:22" ht="19.5" customHeight="1">
      <c r="B136" s="1954"/>
      <c r="C136" s="1954"/>
      <c r="D136" s="1954"/>
      <c r="E136" s="1954"/>
      <c r="F136" s="1954"/>
      <c r="G136" s="1954"/>
      <c r="H136" s="1954"/>
      <c r="I136" s="1954"/>
      <c r="J136" s="1954"/>
      <c r="K136" s="1954"/>
      <c r="L136" s="1954"/>
      <c r="M136" s="1954"/>
      <c r="N136" s="1954"/>
      <c r="O136" s="23"/>
      <c r="P136" s="998"/>
      <c r="Q136" s="3"/>
      <c r="R136" s="383"/>
      <c r="S136" s="383"/>
      <c r="T136" s="383"/>
      <c r="U136" s="383"/>
      <c r="V136" s="383"/>
    </row>
    <row r="137" spans="1:22" ht="19.5" customHeight="1">
      <c r="B137" s="1954"/>
      <c r="C137" s="1954"/>
      <c r="D137" s="1954"/>
      <c r="E137" s="1954"/>
      <c r="F137" s="1954"/>
      <c r="G137" s="1954"/>
      <c r="H137" s="1954"/>
      <c r="I137" s="1954"/>
      <c r="J137" s="1954"/>
      <c r="K137" s="1954"/>
      <c r="L137" s="1954"/>
      <c r="M137" s="1954"/>
      <c r="N137" s="1954"/>
      <c r="O137" s="23"/>
      <c r="P137" s="998"/>
      <c r="Q137" s="3"/>
      <c r="R137" s="383"/>
      <c r="S137" s="383"/>
      <c r="T137" s="383"/>
      <c r="U137" s="383"/>
      <c r="V137" s="383"/>
    </row>
    <row r="138" spans="1:22" ht="19.5" customHeight="1">
      <c r="B138" s="1954"/>
      <c r="C138" s="1954"/>
      <c r="D138" s="1954"/>
      <c r="E138" s="1954"/>
      <c r="F138" s="1954"/>
      <c r="G138" s="1954"/>
      <c r="H138" s="1954"/>
      <c r="I138" s="1954"/>
      <c r="J138" s="1954"/>
      <c r="K138" s="1954"/>
      <c r="L138" s="1954"/>
      <c r="M138" s="1954"/>
      <c r="N138" s="1954"/>
      <c r="O138" s="23"/>
      <c r="P138" s="998"/>
      <c r="Q138" s="3"/>
      <c r="R138" s="383"/>
      <c r="S138" s="383"/>
      <c r="T138" s="383"/>
      <c r="U138" s="383"/>
      <c r="V138" s="383"/>
    </row>
    <row r="139" spans="1:22" ht="19.5" customHeight="1">
      <c r="B139" s="1954"/>
      <c r="C139" s="1954"/>
      <c r="D139" s="1954"/>
      <c r="E139" s="1954"/>
      <c r="F139" s="1954"/>
      <c r="G139" s="1954"/>
      <c r="H139" s="1954"/>
      <c r="I139" s="1954"/>
      <c r="J139" s="1954"/>
      <c r="K139" s="1954"/>
      <c r="L139" s="1954"/>
      <c r="M139" s="1954"/>
      <c r="N139" s="1954"/>
      <c r="O139" s="23"/>
      <c r="P139" s="998"/>
      <c r="Q139" s="3"/>
      <c r="R139" s="383"/>
      <c r="S139" s="383"/>
      <c r="T139" s="383"/>
      <c r="U139" s="383"/>
      <c r="V139" s="383"/>
    </row>
    <row r="140" spans="1:22" ht="19.5" customHeight="1">
      <c r="B140" s="1954"/>
      <c r="C140" s="1954"/>
      <c r="D140" s="1954"/>
      <c r="E140" s="1954"/>
      <c r="F140" s="1954"/>
      <c r="G140" s="1954"/>
      <c r="H140" s="1954"/>
      <c r="I140" s="1954"/>
      <c r="J140" s="1954"/>
      <c r="K140" s="1954"/>
      <c r="L140" s="1954"/>
      <c r="M140" s="1954"/>
      <c r="N140" s="1954"/>
      <c r="O140" s="23"/>
      <c r="P140" s="998"/>
      <c r="Q140" s="3"/>
      <c r="R140" s="383"/>
      <c r="S140" s="383"/>
      <c r="T140" s="383"/>
      <c r="U140" s="383"/>
      <c r="V140" s="383"/>
    </row>
    <row r="141" spans="1:22" ht="19.5" customHeight="1">
      <c r="B141" s="1954"/>
      <c r="C141" s="1954"/>
      <c r="D141" s="1954"/>
      <c r="E141" s="1954"/>
      <c r="F141" s="1954"/>
      <c r="G141" s="1954"/>
      <c r="H141" s="1954"/>
      <c r="I141" s="1954"/>
      <c r="J141" s="1954"/>
      <c r="K141" s="1954"/>
      <c r="L141" s="1954"/>
      <c r="M141" s="1954"/>
      <c r="N141" s="1954"/>
      <c r="O141" s="23"/>
      <c r="P141" s="998"/>
      <c r="Q141" s="3"/>
      <c r="R141" s="383"/>
      <c r="S141" s="383"/>
      <c r="T141" s="383"/>
      <c r="U141" s="383"/>
      <c r="V141" s="383"/>
    </row>
    <row r="142" spans="1:22" ht="20.25" hidden="1" customHeight="1">
      <c r="B142" s="1954"/>
      <c r="C142" s="1954"/>
      <c r="D142" s="1954"/>
      <c r="E142" s="1954"/>
      <c r="F142" s="1954"/>
      <c r="G142" s="1954"/>
      <c r="H142" s="1954"/>
      <c r="I142" s="1954"/>
      <c r="J142" s="1954"/>
      <c r="K142" s="1954"/>
      <c r="L142" s="1954"/>
      <c r="M142" s="1954"/>
      <c r="N142" s="1954"/>
      <c r="O142" s="23"/>
      <c r="P142" s="998"/>
      <c r="Q142" s="3"/>
      <c r="R142" s="383"/>
      <c r="S142" s="383"/>
      <c r="T142" s="383"/>
      <c r="U142" s="383"/>
      <c r="V142" s="383"/>
    </row>
    <row r="143" spans="1:22" ht="20.25" hidden="1" customHeight="1">
      <c r="O143" s="23"/>
      <c r="P143" s="998"/>
      <c r="Q143" s="3"/>
      <c r="R143" s="383"/>
      <c r="S143" s="383"/>
      <c r="T143" s="383"/>
      <c r="U143" s="383"/>
      <c r="V143" s="383"/>
    </row>
    <row r="144" spans="1:22" ht="20.25" hidden="1" customHeight="1">
      <c r="O144" s="23"/>
      <c r="P144" s="998"/>
      <c r="Q144" s="3"/>
      <c r="R144" s="383"/>
      <c r="S144" s="383"/>
      <c r="T144" s="383"/>
      <c r="U144" s="383"/>
      <c r="V144" s="383"/>
    </row>
    <row r="145" spans="15:22" ht="20.25" hidden="1" customHeight="1">
      <c r="O145" s="23"/>
      <c r="P145" s="998"/>
      <c r="Q145" s="3"/>
      <c r="R145" s="383"/>
      <c r="S145" s="383"/>
      <c r="T145" s="383"/>
      <c r="U145" s="383"/>
      <c r="V145" s="383"/>
    </row>
    <row r="146" spans="15:22" ht="20.25" hidden="1" customHeight="1">
      <c r="O146" s="23"/>
      <c r="P146" s="998"/>
      <c r="Q146" s="3"/>
      <c r="R146" s="383"/>
      <c r="S146" s="383"/>
      <c r="T146" s="383"/>
      <c r="U146" s="383"/>
      <c r="V146" s="383"/>
    </row>
    <row r="147" spans="15:22" ht="20.25" hidden="1" customHeight="1">
      <c r="O147" s="23"/>
      <c r="P147" s="998"/>
      <c r="Q147" s="3"/>
      <c r="R147" s="383"/>
      <c r="S147" s="383"/>
      <c r="T147" s="383"/>
      <c r="U147" s="383"/>
      <c r="V147" s="383"/>
    </row>
    <row r="148" spans="15:22" ht="20.25" hidden="1" customHeight="1">
      <c r="O148" s="23"/>
      <c r="P148" s="998"/>
      <c r="Q148" s="3"/>
    </row>
    <row r="149" spans="15:22" ht="20.25" hidden="1" customHeight="1">
      <c r="O149" s="23"/>
      <c r="P149" s="998"/>
      <c r="Q149" s="3"/>
    </row>
    <row r="150" spans="15:22" ht="20.25" hidden="1" customHeight="1">
      <c r="O150" s="23"/>
      <c r="P150" s="998"/>
      <c r="Q150" s="3"/>
    </row>
    <row r="151" spans="15:22" ht="20.25" hidden="1" customHeight="1">
      <c r="O151" s="23"/>
      <c r="P151" s="998"/>
      <c r="Q151" s="3"/>
    </row>
    <row r="152" spans="15:22" ht="20.25" hidden="1" customHeight="1">
      <c r="O152" s="23"/>
      <c r="P152" s="998"/>
      <c r="Q152" s="3"/>
    </row>
    <row r="153" spans="15:22" ht="20.25" hidden="1" customHeight="1">
      <c r="O153" s="23"/>
      <c r="P153" s="998"/>
      <c r="Q153" s="3"/>
    </row>
    <row r="154" spans="15:22" ht="20.25" hidden="1" customHeight="1">
      <c r="O154" s="23"/>
      <c r="P154" s="998"/>
      <c r="Q154" s="3"/>
    </row>
    <row r="155" spans="15:22" ht="20.25" hidden="1" customHeight="1">
      <c r="O155" s="23"/>
      <c r="P155" s="998"/>
      <c r="Q155" s="3"/>
    </row>
    <row r="156" spans="15:22" ht="20.25" hidden="1" customHeight="1">
      <c r="O156" s="23"/>
      <c r="P156" s="998"/>
      <c r="Q156" s="3"/>
    </row>
    <row r="157" spans="15:22" ht="20.25" hidden="1" customHeight="1">
      <c r="O157" s="23"/>
      <c r="P157" s="998"/>
      <c r="Q157" s="3"/>
    </row>
    <row r="158" spans="15:22" ht="20.25" hidden="1" customHeight="1">
      <c r="O158" s="23"/>
      <c r="P158" s="998"/>
      <c r="Q158" s="3"/>
    </row>
    <row r="159" spans="15:22" ht="20.25" hidden="1" customHeight="1">
      <c r="O159" s="23"/>
      <c r="P159" s="998"/>
      <c r="Q159" s="3"/>
    </row>
    <row r="160" spans="15:22" ht="20.25" hidden="1" customHeight="1">
      <c r="O160" s="23"/>
      <c r="P160" s="998"/>
      <c r="Q160" s="3"/>
    </row>
    <row r="161" spans="15:17" ht="20.25" hidden="1" customHeight="1">
      <c r="O161" s="23"/>
      <c r="P161" s="998"/>
      <c r="Q161" s="3"/>
    </row>
    <row r="162" spans="15:17" ht="20.25" hidden="1" customHeight="1">
      <c r="O162" s="23"/>
      <c r="P162" s="998"/>
      <c r="Q162" s="3"/>
    </row>
    <row r="163" spans="15:17" ht="20.25" hidden="1" customHeight="1">
      <c r="O163" s="23"/>
      <c r="P163" s="998"/>
      <c r="Q163" s="3"/>
    </row>
    <row r="164" spans="15:17" ht="20.25" hidden="1" customHeight="1">
      <c r="O164" s="23"/>
      <c r="P164" s="998"/>
      <c r="Q164" s="3"/>
    </row>
    <row r="165" spans="15:17" ht="20.25" hidden="1" customHeight="1">
      <c r="O165" s="23"/>
      <c r="P165" s="998"/>
      <c r="Q165" s="3"/>
    </row>
    <row r="166" spans="15:17" ht="20.25" hidden="1" customHeight="1">
      <c r="O166" s="23"/>
      <c r="P166" s="998"/>
      <c r="Q166" s="3"/>
    </row>
    <row r="167" spans="15:17" ht="20.25" hidden="1" customHeight="1">
      <c r="O167" s="23"/>
      <c r="P167" s="998"/>
      <c r="Q167" s="3"/>
    </row>
    <row r="168" spans="15:17" ht="20.25" hidden="1" customHeight="1">
      <c r="O168" s="23"/>
      <c r="P168" s="998"/>
      <c r="Q168" s="3"/>
    </row>
    <row r="169" spans="15:17" ht="20.25" hidden="1" customHeight="1">
      <c r="O169" s="23"/>
      <c r="P169" s="998"/>
      <c r="Q169" s="3"/>
    </row>
    <row r="170" spans="15:17" ht="20.25" hidden="1" customHeight="1">
      <c r="O170" s="23"/>
      <c r="P170" s="998"/>
      <c r="Q170" s="3"/>
    </row>
    <row r="171" spans="15:17" ht="20.25" hidden="1" customHeight="1">
      <c r="O171" s="23"/>
      <c r="P171" s="998"/>
      <c r="Q171" s="3"/>
    </row>
    <row r="172" spans="15:17" ht="20.25" hidden="1" customHeight="1">
      <c r="O172" s="23"/>
      <c r="P172" s="998"/>
      <c r="Q172" s="3"/>
    </row>
    <row r="173" spans="15:17" ht="20.25" hidden="1" customHeight="1">
      <c r="O173" s="23"/>
      <c r="P173" s="998"/>
      <c r="Q173" s="3"/>
    </row>
    <row r="174" spans="15:17" ht="20.25" hidden="1" customHeight="1">
      <c r="O174" s="23"/>
      <c r="P174" s="998"/>
      <c r="Q174" s="3"/>
    </row>
    <row r="175" spans="15:17" ht="20.25" hidden="1" customHeight="1">
      <c r="O175" s="23"/>
      <c r="P175" s="998"/>
      <c r="Q175" s="3"/>
    </row>
    <row r="176" spans="15:17" ht="20.25" hidden="1" customHeight="1">
      <c r="O176" s="23"/>
      <c r="P176" s="998"/>
      <c r="Q176" s="3"/>
    </row>
    <row r="177" spans="15:17" ht="20.25" hidden="1" customHeight="1">
      <c r="O177" s="23"/>
      <c r="P177" s="998"/>
      <c r="Q177" s="3"/>
    </row>
    <row r="178" spans="15:17" ht="20.25" hidden="1" customHeight="1">
      <c r="O178" s="23"/>
      <c r="P178" s="998"/>
      <c r="Q178" s="3"/>
    </row>
    <row r="179" spans="15:17" ht="20.25" hidden="1" customHeight="1">
      <c r="O179" s="23"/>
      <c r="P179" s="998"/>
      <c r="Q179" s="3"/>
    </row>
    <row r="180" spans="15:17" ht="20.25" hidden="1" customHeight="1">
      <c r="O180" s="23"/>
      <c r="P180" s="998"/>
      <c r="Q180" s="3"/>
    </row>
    <row r="181" spans="15:17" ht="20.25" hidden="1" customHeight="1">
      <c r="O181" s="23"/>
      <c r="P181" s="998"/>
      <c r="Q181" s="3"/>
    </row>
    <row r="182" spans="15:17" ht="20.25" hidden="1" customHeight="1">
      <c r="O182" s="23"/>
      <c r="P182" s="998"/>
      <c r="Q182" s="3"/>
    </row>
    <row r="183" spans="15:17" ht="20.25" hidden="1" customHeight="1">
      <c r="O183" s="23"/>
      <c r="P183" s="998"/>
      <c r="Q183" s="3"/>
    </row>
    <row r="184" spans="15:17" ht="20.25" hidden="1" customHeight="1">
      <c r="O184" s="23"/>
      <c r="P184" s="998"/>
      <c r="Q184" s="3"/>
    </row>
    <row r="185" spans="15:17" ht="20.25" hidden="1" customHeight="1">
      <c r="O185" s="23"/>
      <c r="P185" s="998"/>
      <c r="Q185" s="3"/>
    </row>
    <row r="186" spans="15:17" ht="20.25" hidden="1" customHeight="1">
      <c r="O186" s="23"/>
      <c r="P186" s="998"/>
      <c r="Q186" s="3"/>
    </row>
    <row r="187" spans="15:17" ht="20.25" hidden="1" customHeight="1">
      <c r="O187" s="23"/>
      <c r="P187" s="998"/>
      <c r="Q187" s="3"/>
    </row>
    <row r="188" spans="15:17" ht="20.25" hidden="1" customHeight="1">
      <c r="O188" s="23"/>
      <c r="P188" s="998"/>
      <c r="Q188" s="3"/>
    </row>
    <row r="189" spans="15:17" ht="20.25" hidden="1" customHeight="1">
      <c r="O189" s="23"/>
      <c r="P189" s="998"/>
      <c r="Q189" s="3"/>
    </row>
    <row r="190" spans="15:17" ht="20.25" hidden="1" customHeight="1">
      <c r="O190" s="23"/>
      <c r="P190" s="998"/>
      <c r="Q190" s="3"/>
    </row>
  </sheetData>
  <sheetProtection algorithmName="SHA-512" hashValue="TeduL4XyRdeBr6oQjqOVzmlB5tAQD4R2VHMEmP2gwCEJeigFTubE9S/wTRrtmoQd3SKwZ4ojUAMZrLuqUjyoPw==" saltValue="fhZ3xlZA5HOIgh/p+F//fw==" spinCount="100000" sheet="1" objects="1" scenarios="1"/>
  <customSheetViews>
    <customSheetView guid="{82538F0F-5202-4835-8386-243FA62C9FC1}" scale="70" fitToPage="1">
      <selection activeCell="D4" sqref="D4"/>
      <rowBreaks count="2" manualBreakCount="2">
        <brk id="60" min="1" max="13" man="1"/>
        <brk id="104" min="1" max="13" man="1"/>
      </rowBreaks>
      <pageMargins left="0.75" right="0.75" top="0.75" bottom="0.75" header="0.5" footer="0.5"/>
      <pageSetup scale="45" fitToHeight="0" orientation="landscape" horizontalDpi="300" verticalDpi="300" r:id="rId1"/>
      <headerFooter alignWithMargins="0"/>
    </customSheetView>
  </customSheetViews>
  <mergeCells count="3">
    <mergeCell ref="B133:N142"/>
    <mergeCell ref="E1:J1"/>
    <mergeCell ref="E3:J3"/>
  </mergeCells>
  <phoneticPr fontId="0" type="noConversion"/>
  <pageMargins left="0.75" right="0.75" top="0.75" bottom="0.75" header="0.5" footer="0.5"/>
  <pageSetup scale="45" fitToHeight="0" orientation="landscape" horizontalDpi="300" verticalDpi="300" r:id="rId2"/>
  <headerFooter alignWithMargins="0"/>
  <rowBreaks count="2" manualBreakCount="2">
    <brk id="55" min="1" max="13" man="1"/>
    <brk id="98"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102</vt:i4>
      </vt:variant>
    </vt:vector>
  </HeadingPairs>
  <TitlesOfParts>
    <vt:vector size="115" baseType="lpstr">
      <vt:lpstr>Table of Contents</vt:lpstr>
      <vt:lpstr>Facility Info</vt:lpstr>
      <vt:lpstr>Outpatient Workload</vt:lpstr>
      <vt:lpstr>Inpatient Workload</vt:lpstr>
      <vt:lpstr>EMS Worksheet</vt:lpstr>
      <vt:lpstr>AMB-FTE</vt:lpstr>
      <vt:lpstr>OPS-FTE</vt:lpstr>
      <vt:lpstr>COMM-FTE</vt:lpstr>
      <vt:lpstr>INPAT&amp;ANCILLARY-FTE</vt:lpstr>
      <vt:lpstr>FTE List</vt:lpstr>
      <vt:lpstr>Pay Scales</vt:lpstr>
      <vt:lpstr>EMS</vt:lpstr>
      <vt:lpstr>Budget Calc</vt:lpstr>
      <vt:lpstr>AdmitOverride</vt:lpstr>
      <vt:lpstr>Admits</vt:lpstr>
      <vt:lpstr>ADPL</vt:lpstr>
      <vt:lpstr>AlRuralADPL</vt:lpstr>
      <vt:lpstr>ALTRURAL</vt:lpstr>
      <vt:lpstr>AltRuralBirthing</vt:lpstr>
      <vt:lpstr>AmbUPOP</vt:lpstr>
      <vt:lpstr>CHP</vt:lpstr>
      <vt:lpstr>Dev_GS</vt:lpstr>
      <vt:lpstr>DHAT</vt:lpstr>
      <vt:lpstr>Doctor_Scale</vt:lpstr>
      <vt:lpstr>ED24Hr</vt:lpstr>
      <vt:lpstr>EMSArea</vt:lpstr>
      <vt:lpstr>ERLevel</vt:lpstr>
      <vt:lpstr>FAC_INFO_Ambulatory</vt:lpstr>
      <vt:lpstr>FAC_INFO_AREA_NAME</vt:lpstr>
      <vt:lpstr>FAC_INFO_Audiology</vt:lpstr>
      <vt:lpstr>FAC_INFO_Dental</vt:lpstr>
      <vt:lpstr>FAC_INFO_Emergency_Medical_Service</vt:lpstr>
      <vt:lpstr>FAC_INFO_Eye_Care</vt:lpstr>
      <vt:lpstr>FAC_INFO_FAC_TYPE</vt:lpstr>
      <vt:lpstr>FAC_INFO_FACILITY_NAME</vt:lpstr>
      <vt:lpstr>FAC_INFO_Health_Education</vt:lpstr>
      <vt:lpstr>FAC_INFO_HSP_PROJECT_NAME</vt:lpstr>
      <vt:lpstr>FAC_INFO_Inpatient</vt:lpstr>
      <vt:lpstr>FAC_INFO_Mental_Health</vt:lpstr>
      <vt:lpstr>FAC_INFO_NO_OF_QUARTERS</vt:lpstr>
      <vt:lpstr>FAC_INFO_Nutrition</vt:lpstr>
      <vt:lpstr>FAC_INFO_PARKING_SPACES</vt:lpstr>
      <vt:lpstr>FAC_INFO_Public_Health_Nursing</vt:lpstr>
      <vt:lpstr>FAC_INFO_QUARTERS_SPACE</vt:lpstr>
      <vt:lpstr>FAC_INFO_SERVICE_UNIT_NAME</vt:lpstr>
      <vt:lpstr>FAC_INFO_Social_Services</vt:lpstr>
      <vt:lpstr>FAC_INFO_TOTAL_SPACE</vt:lpstr>
      <vt:lpstr>FAC_INFO_TREATMENT_SPACE</vt:lpstr>
      <vt:lpstr>FoodSvs</vt:lpstr>
      <vt:lpstr>FTE_FTE_Calc</vt:lpstr>
      <vt:lpstr>HEALTHCENTER</vt:lpstr>
      <vt:lpstr>HOSPITAL</vt:lpstr>
      <vt:lpstr>IHS_Area</vt:lpstr>
      <vt:lpstr>InpatientThreshold</vt:lpstr>
      <vt:lpstr>IP_Subtotal_OnSiteDays</vt:lpstr>
      <vt:lpstr>IP_WKL_Birthing</vt:lpstr>
      <vt:lpstr>IP_WKL_General_Medicine</vt:lpstr>
      <vt:lpstr>IP_WKL_ICU_CCU</vt:lpstr>
      <vt:lpstr>IP_WKL_No_of_Inpatient_General_Surgical_Cases</vt:lpstr>
      <vt:lpstr>IP_WKL_Obstetrics_Gynecology</vt:lpstr>
      <vt:lpstr>IP_WKL_Pediatrics</vt:lpstr>
      <vt:lpstr>IP_WKL_Projected_No_Deliveries</vt:lpstr>
      <vt:lpstr>IP_WKL_Psychiatric</vt:lpstr>
      <vt:lpstr>IP_WKL_Surgery</vt:lpstr>
      <vt:lpstr>IP_WKL_Total_Number_of_Beds.</vt:lpstr>
      <vt:lpstr>ISREMOTE</vt:lpstr>
      <vt:lpstr>MedSurgPedsBedDays</vt:lpstr>
      <vt:lpstr>MeetsInpatientThreshold</vt:lpstr>
      <vt:lpstr>MeetsRuralInpatientThreshold</vt:lpstr>
      <vt:lpstr>METRIC</vt:lpstr>
      <vt:lpstr>Nurse_Scale</vt:lpstr>
      <vt:lpstr>OEHE</vt:lpstr>
      <vt:lpstr>OP_WKL_ER_PCPVs</vt:lpstr>
      <vt:lpstr>OP_WKL_Outpatient_Surgery</vt:lpstr>
      <vt:lpstr>OP_WKL_Physical_Therapy_Visits</vt:lpstr>
      <vt:lpstr>OP_WKL_Primary_Care_Provider_Visit_PCPVs</vt:lpstr>
      <vt:lpstr>OP_WKL_Total_Specialty_Visits_TSVs_for_Specialty_Care</vt:lpstr>
      <vt:lpstr>OPV</vt:lpstr>
      <vt:lpstr>ORCases</vt:lpstr>
      <vt:lpstr>OTV</vt:lpstr>
      <vt:lpstr>PCPV</vt:lpstr>
      <vt:lpstr>PharmDrivenVisits</vt:lpstr>
      <vt:lpstr>PharmDriveThru</vt:lpstr>
      <vt:lpstr>PharmExtHrs</vt:lpstr>
      <vt:lpstr>PointOfSalePhaarmClaims</vt:lpstr>
      <vt:lpstr>POPV</vt:lpstr>
      <vt:lpstr>PRCPOs</vt:lpstr>
      <vt:lpstr>Prescriptions</vt:lpstr>
      <vt:lpstr>'AMB-FTE'!Print_Area</vt:lpstr>
      <vt:lpstr>'EMS Worksheet'!Print_Area</vt:lpstr>
      <vt:lpstr>'Facility Info'!Print_Area</vt:lpstr>
      <vt:lpstr>'INPAT&amp;ANCILLARY-FTE'!Print_Area</vt:lpstr>
      <vt:lpstr>'Inpatient Workload'!Print_Area</vt:lpstr>
      <vt:lpstr>'OPS-FTE'!Print_Area</vt:lpstr>
      <vt:lpstr>'Outpatient Workload'!Print_Area</vt:lpstr>
      <vt:lpstr>'Pay Scales'!Print_Area</vt:lpstr>
      <vt:lpstr>'AMB-FTE'!Print_Titles</vt:lpstr>
      <vt:lpstr>'EMS Worksheet'!Print_Titles</vt:lpstr>
      <vt:lpstr>'Facility Info'!Print_Titles</vt:lpstr>
      <vt:lpstr>'INPAT&amp;ANCILLARY-FTE'!Print_Titles</vt:lpstr>
      <vt:lpstr>'Inpatient Workload'!Print_Titles</vt:lpstr>
      <vt:lpstr>'OPS-FTE'!Print_Titles</vt:lpstr>
      <vt:lpstr>'Outpatient Workload'!Print_Titles</vt:lpstr>
      <vt:lpstr>PTV</vt:lpstr>
      <vt:lpstr>RCIS</vt:lpstr>
      <vt:lpstr>RuralInpatientThreshold</vt:lpstr>
      <vt:lpstr>SatelliteFacilities</vt:lpstr>
      <vt:lpstr>SatelliteFacilitiesOPV</vt:lpstr>
      <vt:lpstr>Security_24</vt:lpstr>
      <vt:lpstr>SLPV</vt:lpstr>
      <vt:lpstr>Standard_GS</vt:lpstr>
      <vt:lpstr>TSV</vt:lpstr>
      <vt:lpstr>Wellness_Hours</vt:lpstr>
      <vt:lpstr>Year</vt:lpstr>
      <vt:lpstr>Years</vt:lpstr>
    </vt:vector>
  </TitlesOfParts>
  <Company>Indian Health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RRM  Information Worksheet</dc:title>
  <dc:subject>RRM Excel worksheet</dc:subject>
  <dc:creator>Edward A. Cayous</dc:creator>
  <cp:keywords>RRM Facility</cp:keywords>
  <cp:lastModifiedBy>Vogel, Lucie (IHS/HQ)</cp:lastModifiedBy>
  <cp:lastPrinted>2017-12-09T22:48:16Z</cp:lastPrinted>
  <dcterms:created xsi:type="dcterms:W3CDTF">2003-02-28T13:47:14Z</dcterms:created>
  <dcterms:modified xsi:type="dcterms:W3CDTF">2020-04-23T12:21:06Z</dcterms:modified>
  <cp:category>RRM Facilty worksheet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